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G:\.shortcut-targets-by-id\1nnCsBf6PLWbUhPFr8GKQGv0GkaINXHjl\KRS_2021-24\AP4_Durchführungsphase Schule\CO2 Rechner Distribution\Excel Version\"/>
    </mc:Choice>
  </mc:AlternateContent>
  <workbookProtection workbookAlgorithmName="SHA-512" workbookHashValue="mfzcwvWUK9sTlWrHOQwOw96PcQ87VHoxNRm6OjPHVGS+TNJM10TqX6Tz4g2agWPH1W06Dja5KYiPfBDqnCoJFQ==" workbookSaltValue="Sz6I6IB53kBwFyNg3tBF9g==" workbookSpinCount="100000" lockStructure="1"/>
  <bookViews>
    <workbookView xWindow="1080" yWindow="1080" windowWidth="18216" windowHeight="14784" tabRatio="809" activeTab="1"/>
  </bookViews>
  <sheets>
    <sheet name="Inhalt" sheetId="1" r:id="rId1"/>
    <sheet name="Allgemeines" sheetId="18" r:id="rId2"/>
    <sheet name="Heizsystem" sheetId="4" r:id="rId3"/>
    <sheet name="Stromverbrauch" sheetId="8" r:id="rId4"/>
    <sheet name="PV" sheetId="10" r:id="rId5"/>
    <sheet name="Anleitung Schulwege" sheetId="14" r:id="rId6"/>
    <sheet name="Daten Schulwege" sheetId="15" r:id="rId7"/>
    <sheet name="Schulwege" sheetId="9" r:id="rId8"/>
    <sheet name="Klassenfahrten" sheetId="13" r:id="rId9"/>
    <sheet name="Schüleraustausch" sheetId="17" r:id="rId10"/>
    <sheet name="Ernährung" sheetId="5" r:id="rId11"/>
    <sheet name="Beschaffung_1" sheetId="20" r:id="rId12"/>
    <sheet name="Beschaffung_2" sheetId="19" r:id="rId13"/>
    <sheet name="Ergebnis" sheetId="7" r:id="rId14"/>
    <sheet name="Einstellungen" sheetId="2" r:id="rId15"/>
    <sheet name="Auswertung" sheetId="22" r:id="rId16"/>
    <sheet name="Lookup" sheetId="3" state="hidden" r:id="rId17"/>
  </sheets>
  <definedNames>
    <definedName name="_xlnm._FilterDatabase" localSheetId="5" hidden="1">'Anleitung Schulwege'!$R$5:$AB$362</definedName>
    <definedName name="_xlnm._FilterDatabase" localSheetId="6" hidden="1">'Daten Schulwege'!$A$13:$L$998</definedName>
    <definedName name="_xlnm._FilterDatabase" localSheetId="8" hidden="1">Klassenfahrten!$B$18:$H$68</definedName>
    <definedName name="_xlnm._FilterDatabase" localSheetId="9" hidden="1">Schüleraustausch!$B$20:$G$69</definedName>
    <definedName name="_xlnm._FilterDatabase" localSheetId="7" hidden="1">Schulwege!$L$5:$V$463</definedName>
    <definedName name="AnteilSchuleNachPersonenzahl">Einstellungen!$E$77</definedName>
    <definedName name="AnteilSchuleNachPutzflaeche">Einstellungen!$E$64</definedName>
    <definedName name="AnzahlLehrer">Allgemeines!$E$16</definedName>
    <definedName name="AnzahlSchueler">Allgemeines!$E$15</definedName>
    <definedName name="AnzahlSchultage">Einstellungen!$E$16</definedName>
    <definedName name="AnzahlTageFruehjahrBisHerbst">Einstellungen!$E$17</definedName>
    <definedName name="AnzahlTageWinter">Einstellungen!$E$18</definedName>
    <definedName name="Bezugsjahr">Lookup!$B$20</definedName>
    <definedName name="BezugsjahrEmissionsfaktoren">Lookup!$B$22</definedName>
    <definedName name="BezugsjahrSpalte">Lookup!$B$21</definedName>
    <definedName name="EmissionsfaktorAutoFahrgemeinschaft">Einstellungen!$I$115</definedName>
    <definedName name="EmissionsfaktorAutoKleinwagen">Einstellungen!$I$112</definedName>
    <definedName name="EmissionsfaktorAutoMittelklasse">Einstellungen!$I$113</definedName>
    <definedName name="EmissionsfaktorAutoOberklasse">Einstellungen!$I$114</definedName>
    <definedName name="EmissionsfaktorBenzinMitVorkette">Einstellungen!$I$102</definedName>
    <definedName name="EmissionsfaktorBHKWEinspeisung">Einstellungen!$I$101</definedName>
    <definedName name="EmissionsfaktorBücher">Einstellungen!$I$132</definedName>
    <definedName name="EmissionsfaktorDieselMitVorkette">Einstellungen!$I$103</definedName>
    <definedName name="EmissionsfaktorEAuto">Einstellungen!$I$116</definedName>
    <definedName name="EmissionsfaktorEBike">Einstellungen!$I$110</definedName>
    <definedName name="EmissionsfaktorEisenbahnFernverkehr">Einstellungen!$I$119</definedName>
    <definedName name="EmissionsfaktorErdgasKWH">Einstellungen!$I$92</definedName>
    <definedName name="EmissionsfaktorErdgasM3">Einstellungen!$I$91</definedName>
    <definedName name="EmissionsfaktorFernwärmeKWH">Einstellungen!$I$98</definedName>
    <definedName name="EmissionsfaktorFlugAusland">Einstellungen!$I$121</definedName>
    <definedName name="EmissionsfaktorFlugInland">Einstellungen!$I$120</definedName>
    <definedName name="EmissionsfaktorFrischfaserpapier">Einstellungen!$I$128</definedName>
    <definedName name="EmissionsfaktorHeizölKWH">Einstellungen!$I$94</definedName>
    <definedName name="EmissionsfaktorHeizölLiter">Einstellungen!$I$93</definedName>
    <definedName name="EmissionsfaktorHolzhackschnitzelKG">Einstellungen!$I$95</definedName>
    <definedName name="EmissionsfaktorHolzhackschnitzelSRM">Einstellungen!$I$96</definedName>
    <definedName name="EmissionsfaktorHolzPelletsKG">Einstellungen!$I$97</definedName>
    <definedName name="EmissionsfaktorLinienbus">Einstellungen!$I$108</definedName>
    <definedName name="EmissionsfaktorMoped">Einstellungen!$I$111</definedName>
    <definedName name="EmissionsfaktorMüllProKubikmeter">Einstellungen!$I$131</definedName>
    <definedName name="EmissionsfaktorNotebook">Einstellungen!$I$135</definedName>
    <definedName name="EmissionsfaktorÖkostrom">Einstellungen!$I$100</definedName>
    <definedName name="EmissionsfaktorÖPNV">Einstellungen!$I$109</definedName>
    <definedName name="EmissionsfaktorPC">Einstellungen!$I$136</definedName>
    <definedName name="EmissionsfaktorRecyclingpapier">Einstellungen!$I$129</definedName>
    <definedName name="EmissionsfaktorReisebus">Einstellungen!$I$117</definedName>
    <definedName name="EmissionsfaktorReisebusKomplett">Einstellungen!$I$118</definedName>
    <definedName name="EmissionsfaktorSchulbus">Einstellungen!$I$107</definedName>
    <definedName name="EmissionsfaktorStrom">Einstellungen!$I$99</definedName>
    <definedName name="EmissionsfaktorStuhl">Einstellungen!$I$133</definedName>
    <definedName name="EmissionsfaktorTablet">Einstellungen!$I$137</definedName>
    <definedName name="EmissionsfaktorTisch">Einstellungen!$I$134</definedName>
    <definedName name="EmissionsfaktorWasser">Einstellungen!$I$130</definedName>
    <definedName name="EnergienutzflaecheGesamt">Einstellungen!$E$60</definedName>
    <definedName name="FaktorBeiLokalemProdukt">Lookup!$B$6</definedName>
    <definedName name="GewichtMittagessenMax">Lookup!$B$24</definedName>
    <definedName name="GewichtMittagessenMin">Lookup!$B$23</definedName>
    <definedName name="GrenzwertBuecher">Lookup!$B$47</definedName>
    <definedName name="GrenzwertEssensresteGut">Lookup!$B$32</definedName>
    <definedName name="GrenzwertEssensresteMittel">Lookup!$B$33</definedName>
    <definedName name="GrenzwertEssensresteSehrGut">Lookup!$B$31</definedName>
    <definedName name="GrenzwertHeizenergieverbrauchHoch">Lookup!$B$41</definedName>
    <definedName name="GrenzwertHeizenergieverbrauchMittel">Lookup!$B$40</definedName>
    <definedName name="GrenzwertHeizenergieverbrauchNiedrig">Lookup!$B$39</definedName>
    <definedName name="GrenzwertNotebooks">Lookup!$B$45</definedName>
    <definedName name="GrenzwertPV_Anlage">Lookup!$B$44</definedName>
    <definedName name="GrenzwertStromverbrauchMittel">Lookup!$B$43</definedName>
    <definedName name="GrenzwertStromverbrauchNiedrig">Lookup!$B$42</definedName>
    <definedName name="GrenzwertTablets">Lookup!$B$46</definedName>
    <definedName name="HochrechnungsfaktorVerkehr">Schulwege!$E$54</definedName>
    <definedName name="HochrechnungsfaktorVerkehrLehrer">Schulwege!$E$181</definedName>
    <definedName name="InfoboxLegende">Inhalt!$A$80</definedName>
    <definedName name="InfoboxÖkostrom">Inhalt!$A$85</definedName>
    <definedName name="Jahresstromverbrauch">Lookup!$B$4</definedName>
    <definedName name="ListeLebensmittelIFEU">Ernährung!$A$469:$T$502</definedName>
    <definedName name="MaxRestmüllProPerson">Lookup!$B$28</definedName>
    <definedName name="MaxWasserverbrauchProPerson">Lookup!$B$26</definedName>
    <definedName name="MinRestmüllProPerson">Lookup!$B$27</definedName>
    <definedName name="MinWasserverbrauchProPerson">Lookup!$B$25</definedName>
    <definedName name="NährwertMittagessenMax">Lookup!$B$10</definedName>
    <definedName name="NährwertMittagessenMin">Lookup!$B$9</definedName>
    <definedName name="NameDerSchule">Allgemeines!$E$9</definedName>
    <definedName name="PV2Ausrichtung">Lookup!$B$18</definedName>
    <definedName name="PV2Kapazität">PV!$D$44</definedName>
    <definedName name="PV2Neigung">Lookup!$B$19</definedName>
    <definedName name="PVAusrichtung">Lookup!$B$16</definedName>
    <definedName name="PVBestandJahresertrag">Lookup!$B$5</definedName>
    <definedName name="PVKapazität">PV!$D$28</definedName>
    <definedName name="PVNeigung">Lookup!$B$17</definedName>
    <definedName name="PVSpezifischerJahresertrag">PV!$D$54</definedName>
    <definedName name="TextEssensresteGut">Lookup!$B$36</definedName>
    <definedName name="TextEssensresteMittel">Lookup!$B$37</definedName>
    <definedName name="TextEssensresteSchlecht">Lookup!$B$38</definedName>
    <definedName name="TextEssensresteSehrGut">Lookup!$B$35</definedName>
    <definedName name="UmrechnungsfaktorEssensresteLiterInKG">Lookup!$B$30</definedName>
    <definedName name="UmrechnungsfaktorRestmüllKgInLiter">Lookup!$B$29</definedName>
    <definedName name="VerbrauchsanteilSchuleAustauschprogramme">Einstellungen!$G$36</definedName>
    <definedName name="VerbrauchsanteilSchuleErnaehrung">Einstellungen!$G$38</definedName>
    <definedName name="VerbrauchsanteilSchuleIT">Einstellungen!$G$47</definedName>
    <definedName name="VerbrauchsanteilSchuleKlassenfahrten">Einstellungen!$G$35</definedName>
    <definedName name="VerbrauchsanteilSchuleLehrerweg">Einstellungen!$G$33</definedName>
    <definedName name="VerbrauchsanteilSchuleMöbel">Einstellungen!$G$46</definedName>
    <definedName name="VerbrauchsanteilSchulePapier">Einstellungen!$G$42</definedName>
    <definedName name="VerbrauchsanteilSchulePV">Einstellungen!$G$29</definedName>
    <definedName name="VerbrauchsanteilSchuleRestmüll">Einstellungen!$G$44</definedName>
    <definedName name="VerbrauchsanteilSchuleSchuelerweg">Einstellungen!$G$31</definedName>
    <definedName name="VerbrauchsanteilSchuleSchulbücher">Einstellungen!$G$45</definedName>
    <definedName name="VerbrauchsanteilSchuleSnacks">Einstellungen!$G$40</definedName>
    <definedName name="VerbrauchsanteilSchuleStrom">Einstellungen!$G$28</definedName>
    <definedName name="VerbrauchsanteilSchuleWaerme">Einstellungen!$G$27</definedName>
    <definedName name="VerbrauchsanteilSchuleWasser">Einstellungen!$G$43</definedName>
    <definedName name="WattPerM2">Lookup!$B$3</definedName>
  </definedNames>
  <calcPr calcId="162913"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2" l="1"/>
  <c r="E108" i="2" a="1"/>
  <c r="E108" i="2" s="1"/>
  <c r="E107" i="2" a="1"/>
  <c r="E107" i="2" s="1"/>
  <c r="F99" i="2" a="1"/>
  <c r="F99" i="2" s="1"/>
  <c r="E99" i="2" a="1"/>
  <c r="E99" i="2" s="1"/>
  <c r="C99" i="2" a="1"/>
  <c r="C99" i="2" s="1"/>
  <c r="F23" i="18"/>
  <c r="D181" i="2"/>
  <c r="D187" i="2"/>
  <c r="D180" i="2"/>
  <c r="D179" i="2"/>
  <c r="D178" i="2"/>
  <c r="D235" i="2"/>
  <c r="D223" i="2"/>
  <c r="D216" i="2"/>
  <c r="D240" i="2"/>
  <c r="D210" i="2"/>
  <c r="D198" i="2"/>
  <c r="D70" i="22" l="1"/>
  <c r="D64" i="22"/>
  <c r="D54" i="22"/>
  <c r="G44" i="19"/>
  <c r="G43" i="19" s="1"/>
  <c r="D14" i="22"/>
  <c r="D15" i="22"/>
  <c r="D4" i="22"/>
  <c r="B93" i="20"/>
  <c r="B36" i="5"/>
  <c r="C77" i="9"/>
  <c r="C30" i="9"/>
  <c r="C29" i="9"/>
  <c r="C204" i="9"/>
  <c r="E435" i="5"/>
  <c r="E422" i="5"/>
  <c r="E409" i="5"/>
  <c r="E396" i="5"/>
  <c r="E383" i="5"/>
  <c r="E370" i="5"/>
  <c r="E357" i="5"/>
  <c r="E344" i="5"/>
  <c r="E331" i="5"/>
  <c r="E318" i="5"/>
  <c r="E305" i="5"/>
  <c r="E292" i="5"/>
  <c r="E279" i="5"/>
  <c r="E266" i="5"/>
  <c r="E253" i="5"/>
  <c r="E240" i="5"/>
  <c r="E227" i="5"/>
  <c r="E214" i="5"/>
  <c r="E201" i="5"/>
  <c r="E188" i="5"/>
  <c r="G86" i="19"/>
  <c r="G78" i="19"/>
  <c r="G106" i="19"/>
  <c r="D71" i="22" l="1"/>
  <c r="D16" i="22"/>
  <c r="G79" i="19"/>
  <c r="G87" i="19"/>
  <c r="G40" i="2"/>
  <c r="F178" i="5"/>
  <c r="D65" i="22" s="1"/>
  <c r="D176" i="5"/>
  <c r="F176" i="5" s="1"/>
  <c r="D175" i="5"/>
  <c r="F175" i="5" s="1"/>
  <c r="D174" i="5"/>
  <c r="F174" i="5" s="1"/>
  <c r="D173" i="5"/>
  <c r="F173" i="5" s="1"/>
  <c r="D172" i="5"/>
  <c r="F172" i="5" s="1"/>
  <c r="D171" i="5"/>
  <c r="F171" i="5" s="1"/>
  <c r="D170" i="5"/>
  <c r="F170" i="5" s="1"/>
  <c r="D169" i="5"/>
  <c r="F169" i="5" s="1"/>
  <c r="D526" i="5"/>
  <c r="D521" i="5"/>
  <c r="D512" i="5" s="1"/>
  <c r="D167" i="5" s="1"/>
  <c r="F167" i="5" s="1"/>
  <c r="E65" i="22" l="1"/>
  <c r="D168" i="5"/>
  <c r="F168" i="5" s="1"/>
  <c r="F177" i="5" s="1"/>
  <c r="F179" i="5" s="1"/>
  <c r="E40" i="2" s="1"/>
  <c r="B180" i="5"/>
  <c r="N48" i="8"/>
  <c r="N47" i="8"/>
  <c r="D47" i="8" s="1"/>
  <c r="N41" i="8"/>
  <c r="H40" i="2" l="1"/>
  <c r="E36" i="22" s="1"/>
  <c r="D36" i="22"/>
  <c r="B181" i="5"/>
  <c r="D48" i="8"/>
  <c r="D49" i="8" s="1"/>
  <c r="M74" i="4"/>
  <c r="M73" i="4"/>
  <c r="M72" i="4"/>
  <c r="D71" i="4" s="1"/>
  <c r="M55" i="4"/>
  <c r="M54" i="4"/>
  <c r="L46" i="4"/>
  <c r="M46" i="4" s="1"/>
  <c r="M42" i="4"/>
  <c r="M41" i="4"/>
  <c r="M39" i="4"/>
  <c r="M38" i="4"/>
  <c r="M35" i="4"/>
  <c r="M34" i="4"/>
  <c r="M32" i="4"/>
  <c r="M29" i="4"/>
  <c r="E57" i="2"/>
  <c r="E56" i="2"/>
  <c r="B42" i="5"/>
  <c r="C329" i="9"/>
  <c r="F39" i="2"/>
  <c r="F34" i="2"/>
  <c r="F32" i="2"/>
  <c r="E34" i="2"/>
  <c r="E321" i="9"/>
  <c r="G321" i="9" s="1"/>
  <c r="I321" i="9" s="1"/>
  <c r="E322" i="9"/>
  <c r="E323" i="9"/>
  <c r="G323" i="9" s="1"/>
  <c r="E324" i="9"/>
  <c r="G324" i="9" s="1"/>
  <c r="E325" i="9"/>
  <c r="G325" i="9" s="1"/>
  <c r="E326" i="9"/>
  <c r="G326" i="9" s="1"/>
  <c r="E320" i="9"/>
  <c r="G320" i="9" s="1"/>
  <c r="I320" i="9" s="1"/>
  <c r="I329" i="9"/>
  <c r="D327" i="9"/>
  <c r="E327" i="9" s="1"/>
  <c r="E308" i="9"/>
  <c r="G308" i="9" s="1"/>
  <c r="E307" i="9"/>
  <c r="G307" i="9" s="1"/>
  <c r="E306" i="9"/>
  <c r="G306" i="9" s="1"/>
  <c r="E305" i="9"/>
  <c r="G305" i="9" s="1"/>
  <c r="E304" i="9"/>
  <c r="G304" i="9" s="1"/>
  <c r="E303" i="9"/>
  <c r="G303" i="9" s="1"/>
  <c r="I303" i="9" s="1"/>
  <c r="E302" i="9"/>
  <c r="G302" i="9" s="1"/>
  <c r="I302" i="9" s="1"/>
  <c r="C311" i="9"/>
  <c r="D158" i="5"/>
  <c r="I311" i="9"/>
  <c r="D309" i="9"/>
  <c r="E58" i="5"/>
  <c r="C4" i="17"/>
  <c r="G31" i="13"/>
  <c r="G30" i="13"/>
  <c r="G29" i="13"/>
  <c r="G28" i="13"/>
  <c r="G27" i="13"/>
  <c r="G26" i="13"/>
  <c r="G25" i="13"/>
  <c r="H101" i="7"/>
  <c r="E60" i="2" l="1"/>
  <c r="D10" i="22" s="1"/>
  <c r="H36" i="22"/>
  <c r="C71" i="2"/>
  <c r="D73" i="4"/>
  <c r="M56" i="4"/>
  <c r="D72" i="4"/>
  <c r="C53" i="2"/>
  <c r="E309" i="9"/>
  <c r="E310" i="9" s="1"/>
  <c r="G327" i="9"/>
  <c r="I327" i="9" s="1"/>
  <c r="E328" i="9"/>
  <c r="G322" i="9"/>
  <c r="H69" i="2"/>
  <c r="H51" i="2"/>
  <c r="E68" i="5"/>
  <c r="D71" i="5"/>
  <c r="D72" i="5"/>
  <c r="E69" i="5"/>
  <c r="D61" i="5"/>
  <c r="D63" i="5" s="1"/>
  <c r="D62" i="5"/>
  <c r="E59" i="5"/>
  <c r="E750" i="5"/>
  <c r="D750" i="5"/>
  <c r="G104" i="19"/>
  <c r="G107" i="19" s="1"/>
  <c r="G84" i="19"/>
  <c r="G68" i="19"/>
  <c r="G76" i="19"/>
  <c r="D74" i="22" l="1"/>
  <c r="D72" i="22"/>
  <c r="D74" i="4"/>
  <c r="E62" i="2"/>
  <c r="E63" i="2"/>
  <c r="E66" i="2"/>
  <c r="G309" i="9"/>
  <c r="I309" i="9" s="1"/>
  <c r="D73" i="5"/>
  <c r="D74" i="5" s="1"/>
  <c r="C75" i="5" s="1"/>
  <c r="I137" i="2"/>
  <c r="G85" i="19" s="1"/>
  <c r="G92" i="19" s="1"/>
  <c r="I136" i="2"/>
  <c r="G69" i="19" s="1"/>
  <c r="G70" i="19" s="1"/>
  <c r="I135" i="2"/>
  <c r="G77" i="19" s="1"/>
  <c r="G91" i="19" s="1"/>
  <c r="G46" i="2"/>
  <c r="I134" i="2"/>
  <c r="I133" i="2"/>
  <c r="G57" i="19" s="1"/>
  <c r="G53" i="19"/>
  <c r="B149" i="5"/>
  <c r="H40" i="19"/>
  <c r="I132" i="2"/>
  <c r="G108" i="19" s="1"/>
  <c r="G109" i="19" s="1"/>
  <c r="H41" i="19"/>
  <c r="G45" i="19"/>
  <c r="I131" i="2"/>
  <c r="G43" i="2"/>
  <c r="E70" i="22" s="1"/>
  <c r="H70" i="22" s="1"/>
  <c r="G43" i="5"/>
  <c r="E40" i="5"/>
  <c r="G40" i="5" s="1"/>
  <c r="E39" i="5"/>
  <c r="D41" i="5"/>
  <c r="C117" i="5"/>
  <c r="S195" i="5"/>
  <c r="S208" i="5"/>
  <c r="S221" i="5"/>
  <c r="S216" i="5"/>
  <c r="S234" i="5"/>
  <c r="S233" i="5"/>
  <c r="S232" i="5"/>
  <c r="S231" i="5"/>
  <c r="S230" i="5"/>
  <c r="S229" i="5"/>
  <c r="S247" i="5"/>
  <c r="S246" i="5"/>
  <c r="S245" i="5"/>
  <c r="S244" i="5"/>
  <c r="S243" i="5"/>
  <c r="S242" i="5"/>
  <c r="S260" i="5"/>
  <c r="S255" i="5"/>
  <c r="S273" i="5"/>
  <c r="S272" i="5"/>
  <c r="S271" i="5"/>
  <c r="S270" i="5"/>
  <c r="S269" i="5"/>
  <c r="S268" i="5"/>
  <c r="S286" i="5"/>
  <c r="S285" i="5"/>
  <c r="S284" i="5"/>
  <c r="S283" i="5"/>
  <c r="S282" i="5"/>
  <c r="S281" i="5"/>
  <c r="S299" i="5"/>
  <c r="S298" i="5"/>
  <c r="S297" i="5"/>
  <c r="S296" i="5"/>
  <c r="S295" i="5"/>
  <c r="S294" i="5"/>
  <c r="S312" i="5"/>
  <c r="S311" i="5"/>
  <c r="S310" i="5"/>
  <c r="S309" i="5"/>
  <c r="S308" i="5"/>
  <c r="S307" i="5"/>
  <c r="S325" i="5"/>
  <c r="S324" i="5"/>
  <c r="S323" i="5"/>
  <c r="S322" i="5"/>
  <c r="S321" i="5"/>
  <c r="S320" i="5"/>
  <c r="S338" i="5"/>
  <c r="S337" i="5"/>
  <c r="S336" i="5"/>
  <c r="S335" i="5"/>
  <c r="S334" i="5"/>
  <c r="S333" i="5"/>
  <c r="S351" i="5"/>
  <c r="S350" i="5"/>
  <c r="S349" i="5"/>
  <c r="S348" i="5"/>
  <c r="S347" i="5"/>
  <c r="S346" i="5"/>
  <c r="S364" i="5"/>
  <c r="S363" i="5"/>
  <c r="S362" i="5"/>
  <c r="S361" i="5"/>
  <c r="S360" i="5"/>
  <c r="S359" i="5"/>
  <c r="S377" i="5"/>
  <c r="S376" i="5"/>
  <c r="S375" i="5"/>
  <c r="S374" i="5"/>
  <c r="S373" i="5"/>
  <c r="S372" i="5"/>
  <c r="S390" i="5"/>
  <c r="S389" i="5"/>
  <c r="S388" i="5"/>
  <c r="S387" i="5"/>
  <c r="S386" i="5"/>
  <c r="S385" i="5"/>
  <c r="S403" i="5"/>
  <c r="S402" i="5"/>
  <c r="S401" i="5"/>
  <c r="S400" i="5"/>
  <c r="S399" i="5"/>
  <c r="S398" i="5"/>
  <c r="S416" i="5"/>
  <c r="S415" i="5"/>
  <c r="S414" i="5"/>
  <c r="S413" i="5"/>
  <c r="S412" i="5"/>
  <c r="S411" i="5"/>
  <c r="S442" i="5"/>
  <c r="S441" i="5"/>
  <c r="S440" i="5"/>
  <c r="S439" i="5"/>
  <c r="S427" i="5"/>
  <c r="S425" i="5"/>
  <c r="S424" i="5"/>
  <c r="C136" i="5"/>
  <c r="C135" i="5"/>
  <c r="C134" i="5"/>
  <c r="C133" i="5"/>
  <c r="C132" i="5"/>
  <c r="C131" i="5"/>
  <c r="C130" i="5"/>
  <c r="C129" i="5"/>
  <c r="B381" i="5"/>
  <c r="E391" i="5"/>
  <c r="AZ390" i="5" a="1"/>
  <c r="AZ390" i="5" s="1"/>
  <c r="AY390" i="5" a="1"/>
  <c r="AY390" i="5" s="1"/>
  <c r="AX390" i="5" a="1"/>
  <c r="AX390" i="5" s="1"/>
  <c r="AW390" i="5" a="1"/>
  <c r="AW390" i="5" s="1"/>
  <c r="AV390" i="5" a="1"/>
  <c r="AV390" i="5" s="1"/>
  <c r="AU390" i="5" a="1"/>
  <c r="AU390" i="5" s="1"/>
  <c r="AT390" i="5" a="1"/>
  <c r="AT390" i="5" s="1"/>
  <c r="AS390" i="5" a="1"/>
  <c r="AS390" i="5" s="1"/>
  <c r="AR390" i="5" a="1"/>
  <c r="AR390" i="5" s="1"/>
  <c r="AQ390" i="5" a="1"/>
  <c r="AQ390" i="5" s="1"/>
  <c r="AP390" i="5" a="1"/>
  <c r="AP390" i="5" s="1"/>
  <c r="AO390" i="5" a="1"/>
  <c r="AO390" i="5" s="1"/>
  <c r="AN390" i="5" a="1"/>
  <c r="AN390" i="5" s="1"/>
  <c r="AM390" i="5" a="1"/>
  <c r="AM390" i="5" s="1"/>
  <c r="AL390" i="5" a="1"/>
  <c r="AL390" i="5" s="1"/>
  <c r="AK390" i="5" a="1"/>
  <c r="AK390" i="5" s="1"/>
  <c r="AJ390" i="5" a="1"/>
  <c r="AJ390" i="5" s="1"/>
  <c r="AI390" i="5" a="1"/>
  <c r="AI390" i="5" s="1"/>
  <c r="AH390" i="5" a="1"/>
  <c r="AH390" i="5" s="1"/>
  <c r="AG390" i="5" a="1"/>
  <c r="AG390" i="5" s="1"/>
  <c r="AF390" i="5" a="1"/>
  <c r="AF390" i="5" s="1"/>
  <c r="AE390" i="5" a="1"/>
  <c r="AE390" i="5" s="1"/>
  <c r="AD390" i="5" a="1"/>
  <c r="AD390" i="5" s="1"/>
  <c r="AC390" i="5" a="1"/>
  <c r="AC390" i="5" s="1"/>
  <c r="AB390" i="5" a="1"/>
  <c r="AB390" i="5" s="1"/>
  <c r="AA390" i="5" a="1"/>
  <c r="AA390" i="5" s="1"/>
  <c r="Z390" i="5" a="1"/>
  <c r="Z390" i="5" s="1"/>
  <c r="Y390" i="5" a="1"/>
  <c r="Y390" i="5" s="1"/>
  <c r="X390" i="5" a="1"/>
  <c r="X390" i="5" s="1"/>
  <c r="W390" i="5" a="1"/>
  <c r="W390" i="5" s="1"/>
  <c r="V390" i="5" a="1"/>
  <c r="V390" i="5" s="1"/>
  <c r="U390" i="5" a="1"/>
  <c r="U390" i="5" s="1"/>
  <c r="T390" i="5" a="1"/>
  <c r="T390" i="5" s="1"/>
  <c r="R390" i="5"/>
  <c r="P390" i="5"/>
  <c r="H390" i="5"/>
  <c r="G390" i="5"/>
  <c r="AZ389" i="5" a="1"/>
  <c r="AZ389" i="5" s="1"/>
  <c r="AY389" i="5" a="1"/>
  <c r="AY389" i="5" s="1"/>
  <c r="AX389" i="5" a="1"/>
  <c r="AX389" i="5" s="1"/>
  <c r="AW389" i="5" a="1"/>
  <c r="AW389" i="5" s="1"/>
  <c r="AV389" i="5" a="1"/>
  <c r="AV389" i="5" s="1"/>
  <c r="AU389" i="5" a="1"/>
  <c r="AU389" i="5" s="1"/>
  <c r="AT389" i="5" a="1"/>
  <c r="AT389" i="5" s="1"/>
  <c r="AS389" i="5" a="1"/>
  <c r="AS389" i="5" s="1"/>
  <c r="AR389" i="5" a="1"/>
  <c r="AR389" i="5" s="1"/>
  <c r="AQ389" i="5" a="1"/>
  <c r="AQ389" i="5" s="1"/>
  <c r="AP389" i="5" a="1"/>
  <c r="AP389" i="5" s="1"/>
  <c r="AO389" i="5" a="1"/>
  <c r="AO389" i="5" s="1"/>
  <c r="AN389" i="5" a="1"/>
  <c r="AN389" i="5" s="1"/>
  <c r="AM389" i="5" a="1"/>
  <c r="AM389" i="5" s="1"/>
  <c r="AL389" i="5" a="1"/>
  <c r="AL389" i="5" s="1"/>
  <c r="AK389" i="5" a="1"/>
  <c r="AK389" i="5" s="1"/>
  <c r="AJ389" i="5" a="1"/>
  <c r="AJ389" i="5" s="1"/>
  <c r="AI389" i="5" a="1"/>
  <c r="AI389" i="5" s="1"/>
  <c r="AH389" i="5" a="1"/>
  <c r="AH389" i="5" s="1"/>
  <c r="AG389" i="5" a="1"/>
  <c r="AG389" i="5" s="1"/>
  <c r="AF389" i="5" a="1"/>
  <c r="AF389" i="5" s="1"/>
  <c r="AE389" i="5" a="1"/>
  <c r="AE389" i="5" s="1"/>
  <c r="AD389" i="5" a="1"/>
  <c r="AD389" i="5" s="1"/>
  <c r="AC389" i="5" a="1"/>
  <c r="AC389" i="5" s="1"/>
  <c r="AB389" i="5" a="1"/>
  <c r="AB389" i="5" s="1"/>
  <c r="AA389" i="5" a="1"/>
  <c r="AA389" i="5" s="1"/>
  <c r="Z389" i="5" a="1"/>
  <c r="Z389" i="5" s="1"/>
  <c r="Y389" i="5" a="1"/>
  <c r="Y389" i="5" s="1"/>
  <c r="X389" i="5" a="1"/>
  <c r="X389" i="5" s="1"/>
  <c r="W389" i="5" a="1"/>
  <c r="W389" i="5" s="1"/>
  <c r="V389" i="5" a="1"/>
  <c r="V389" i="5" s="1"/>
  <c r="U389" i="5" a="1"/>
  <c r="U389" i="5" s="1"/>
  <c r="T389" i="5" a="1"/>
  <c r="T389" i="5" s="1"/>
  <c r="R389" i="5"/>
  <c r="P389" i="5"/>
  <c r="H389" i="5"/>
  <c r="G389" i="5"/>
  <c r="AZ388" i="5" a="1"/>
  <c r="AZ388" i="5" s="1"/>
  <c r="AY388" i="5" a="1"/>
  <c r="AY388" i="5" s="1"/>
  <c r="AX388" i="5" a="1"/>
  <c r="AX388" i="5" s="1"/>
  <c r="AW388" i="5" a="1"/>
  <c r="AW388" i="5" s="1"/>
  <c r="AV388" i="5" a="1"/>
  <c r="AV388" i="5" s="1"/>
  <c r="AU388" i="5" a="1"/>
  <c r="AU388" i="5" s="1"/>
  <c r="AT388" i="5" a="1"/>
  <c r="AT388" i="5" s="1"/>
  <c r="AS388" i="5" a="1"/>
  <c r="AS388" i="5" s="1"/>
  <c r="AR388" i="5" a="1"/>
  <c r="AR388" i="5" s="1"/>
  <c r="AQ388" i="5" a="1"/>
  <c r="AQ388" i="5" s="1"/>
  <c r="AP388" i="5" a="1"/>
  <c r="AP388" i="5" s="1"/>
  <c r="AO388" i="5" a="1"/>
  <c r="AO388" i="5" s="1"/>
  <c r="AN388" i="5" a="1"/>
  <c r="AN388" i="5" s="1"/>
  <c r="AM388" i="5" a="1"/>
  <c r="AM388" i="5" s="1"/>
  <c r="AL388" i="5" a="1"/>
  <c r="AL388" i="5" s="1"/>
  <c r="AK388" i="5" a="1"/>
  <c r="AK388" i="5" s="1"/>
  <c r="AJ388" i="5" a="1"/>
  <c r="AJ388" i="5" s="1"/>
  <c r="AI388" i="5" a="1"/>
  <c r="AI388" i="5" s="1"/>
  <c r="AH388" i="5" a="1"/>
  <c r="AH388" i="5" s="1"/>
  <c r="AG388" i="5" a="1"/>
  <c r="AG388" i="5" s="1"/>
  <c r="AF388" i="5" a="1"/>
  <c r="AF388" i="5" s="1"/>
  <c r="AE388" i="5" a="1"/>
  <c r="AE388" i="5" s="1"/>
  <c r="AD388" i="5" a="1"/>
  <c r="AD388" i="5" s="1"/>
  <c r="AC388" i="5" a="1"/>
  <c r="AC388" i="5" s="1"/>
  <c r="AB388" i="5" a="1"/>
  <c r="AB388" i="5" s="1"/>
  <c r="AA388" i="5" a="1"/>
  <c r="AA388" i="5" s="1"/>
  <c r="Z388" i="5" a="1"/>
  <c r="Z388" i="5" s="1"/>
  <c r="Y388" i="5" a="1"/>
  <c r="Y388" i="5" s="1"/>
  <c r="X388" i="5" a="1"/>
  <c r="X388" i="5" s="1"/>
  <c r="W388" i="5" a="1"/>
  <c r="W388" i="5" s="1"/>
  <c r="V388" i="5" a="1"/>
  <c r="V388" i="5" s="1"/>
  <c r="U388" i="5" a="1"/>
  <c r="U388" i="5" s="1"/>
  <c r="T388" i="5" a="1"/>
  <c r="T388" i="5" s="1"/>
  <c r="R388" i="5"/>
  <c r="P388" i="5"/>
  <c r="H388" i="5"/>
  <c r="G388" i="5"/>
  <c r="AZ387" i="5" a="1"/>
  <c r="AZ387" i="5" s="1"/>
  <c r="AY387" i="5" a="1"/>
  <c r="AY387" i="5" s="1"/>
  <c r="AX387" i="5" a="1"/>
  <c r="AX387" i="5" s="1"/>
  <c r="AW387" i="5" a="1"/>
  <c r="AW387" i="5" s="1"/>
  <c r="AV387" i="5" a="1"/>
  <c r="AV387" i="5" s="1"/>
  <c r="AU387" i="5" a="1"/>
  <c r="AU387" i="5" s="1"/>
  <c r="AT387" i="5" a="1"/>
  <c r="AT387" i="5" s="1"/>
  <c r="AS387" i="5" a="1"/>
  <c r="AS387" i="5" s="1"/>
  <c r="AR387" i="5" a="1"/>
  <c r="AR387" i="5" s="1"/>
  <c r="AQ387" i="5" a="1"/>
  <c r="AQ387" i="5" s="1"/>
  <c r="AP387" i="5" a="1"/>
  <c r="AP387" i="5" s="1"/>
  <c r="AO387" i="5" a="1"/>
  <c r="AO387" i="5" s="1"/>
  <c r="AN387" i="5" a="1"/>
  <c r="AN387" i="5" s="1"/>
  <c r="AM387" i="5" a="1"/>
  <c r="AM387" i="5" s="1"/>
  <c r="AL387" i="5" a="1"/>
  <c r="AL387" i="5" s="1"/>
  <c r="AK387" i="5" a="1"/>
  <c r="AK387" i="5" s="1"/>
  <c r="AJ387" i="5" a="1"/>
  <c r="AJ387" i="5" s="1"/>
  <c r="AI387" i="5" a="1"/>
  <c r="AI387" i="5" s="1"/>
  <c r="AH387" i="5" a="1"/>
  <c r="AH387" i="5" s="1"/>
  <c r="AG387" i="5" a="1"/>
  <c r="AG387" i="5" s="1"/>
  <c r="AF387" i="5" a="1"/>
  <c r="AF387" i="5" s="1"/>
  <c r="AE387" i="5" a="1"/>
  <c r="AE387" i="5" s="1"/>
  <c r="AD387" i="5" a="1"/>
  <c r="AD387" i="5" s="1"/>
  <c r="AC387" i="5" a="1"/>
  <c r="AC387" i="5" s="1"/>
  <c r="AB387" i="5" a="1"/>
  <c r="AB387" i="5" s="1"/>
  <c r="AA387" i="5" a="1"/>
  <c r="AA387" i="5" s="1"/>
  <c r="Z387" i="5" a="1"/>
  <c r="Z387" i="5" s="1"/>
  <c r="Y387" i="5" a="1"/>
  <c r="Y387" i="5" s="1"/>
  <c r="X387" i="5" a="1"/>
  <c r="X387" i="5" s="1"/>
  <c r="W387" i="5" a="1"/>
  <c r="W387" i="5" s="1"/>
  <c r="V387" i="5" a="1"/>
  <c r="V387" i="5" s="1"/>
  <c r="U387" i="5" a="1"/>
  <c r="U387" i="5" s="1"/>
  <c r="T387" i="5" a="1"/>
  <c r="T387" i="5" s="1"/>
  <c r="R387" i="5"/>
  <c r="P387" i="5"/>
  <c r="H387" i="5"/>
  <c r="G387" i="5"/>
  <c r="AZ386" i="5" a="1"/>
  <c r="AZ386" i="5" s="1"/>
  <c r="AY386" i="5" a="1"/>
  <c r="AY386" i="5" s="1"/>
  <c r="AX386" i="5" a="1"/>
  <c r="AX386" i="5" s="1"/>
  <c r="AW386" i="5" a="1"/>
  <c r="AW386" i="5" s="1"/>
  <c r="AV386" i="5" a="1"/>
  <c r="AV386" i="5" s="1"/>
  <c r="AU386" i="5" a="1"/>
  <c r="AU386" i="5" s="1"/>
  <c r="AT386" i="5" a="1"/>
  <c r="AT386" i="5" s="1"/>
  <c r="AS386" i="5" a="1"/>
  <c r="AS386" i="5" s="1"/>
  <c r="AR386" i="5" a="1"/>
  <c r="AR386" i="5" s="1"/>
  <c r="AQ386" i="5" a="1"/>
  <c r="AQ386" i="5" s="1"/>
  <c r="AP386" i="5" a="1"/>
  <c r="AP386" i="5" s="1"/>
  <c r="AO386" i="5" a="1"/>
  <c r="AO386" i="5" s="1"/>
  <c r="AN386" i="5" a="1"/>
  <c r="AN386" i="5" s="1"/>
  <c r="AM386" i="5" a="1"/>
  <c r="AM386" i="5" s="1"/>
  <c r="AL386" i="5" a="1"/>
  <c r="AL386" i="5" s="1"/>
  <c r="AK386" i="5" a="1"/>
  <c r="AK386" i="5" s="1"/>
  <c r="AJ386" i="5" a="1"/>
  <c r="AJ386" i="5" s="1"/>
  <c r="AI386" i="5" a="1"/>
  <c r="AI386" i="5" s="1"/>
  <c r="AH386" i="5" a="1"/>
  <c r="AH386" i="5" s="1"/>
  <c r="AG386" i="5" a="1"/>
  <c r="AG386" i="5" s="1"/>
  <c r="AF386" i="5" a="1"/>
  <c r="AF386" i="5" s="1"/>
  <c r="AE386" i="5" a="1"/>
  <c r="AE386" i="5" s="1"/>
  <c r="AD386" i="5" a="1"/>
  <c r="AD386" i="5" s="1"/>
  <c r="AC386" i="5" a="1"/>
  <c r="AC386" i="5" s="1"/>
  <c r="AB386" i="5" a="1"/>
  <c r="AB386" i="5" s="1"/>
  <c r="AA386" i="5" a="1"/>
  <c r="AA386" i="5" s="1"/>
  <c r="Z386" i="5" a="1"/>
  <c r="Z386" i="5" s="1"/>
  <c r="Y386" i="5" a="1"/>
  <c r="Y386" i="5" s="1"/>
  <c r="X386" i="5" a="1"/>
  <c r="X386" i="5" s="1"/>
  <c r="W386" i="5" a="1"/>
  <c r="W386" i="5" s="1"/>
  <c r="V386" i="5" a="1"/>
  <c r="V386" i="5" s="1"/>
  <c r="U386" i="5" a="1"/>
  <c r="U386" i="5" s="1"/>
  <c r="T386" i="5" a="1"/>
  <c r="T386" i="5" s="1"/>
  <c r="R386" i="5"/>
  <c r="P386" i="5"/>
  <c r="H386" i="5"/>
  <c r="G386" i="5"/>
  <c r="AZ385" i="5" a="1"/>
  <c r="AZ385" i="5" s="1"/>
  <c r="AY385" i="5" a="1"/>
  <c r="AY385" i="5" s="1"/>
  <c r="AX385" i="5" a="1"/>
  <c r="AX385" i="5" s="1"/>
  <c r="AW385" i="5" a="1"/>
  <c r="AW385" i="5" s="1"/>
  <c r="AV385" i="5" a="1"/>
  <c r="AV385" i="5" s="1"/>
  <c r="AU385" i="5" a="1"/>
  <c r="AU385" i="5" s="1"/>
  <c r="AT385" i="5" a="1"/>
  <c r="AT385" i="5" s="1"/>
  <c r="AS385" i="5" a="1"/>
  <c r="AS385" i="5" s="1"/>
  <c r="AR385" i="5" a="1"/>
  <c r="AR385" i="5" s="1"/>
  <c r="AQ385" i="5" a="1"/>
  <c r="AQ385" i="5" s="1"/>
  <c r="AP385" i="5" a="1"/>
  <c r="AP385" i="5" s="1"/>
  <c r="AO385" i="5" a="1"/>
  <c r="AO385" i="5" s="1"/>
  <c r="AN385" i="5" a="1"/>
  <c r="AN385" i="5" s="1"/>
  <c r="AM385" i="5" a="1"/>
  <c r="AM385" i="5" s="1"/>
  <c r="AL385" i="5" a="1"/>
  <c r="AL385" i="5" s="1"/>
  <c r="AK385" i="5" a="1"/>
  <c r="AK385" i="5" s="1"/>
  <c r="AJ385" i="5" a="1"/>
  <c r="AJ385" i="5" s="1"/>
  <c r="AI385" i="5" a="1"/>
  <c r="AI385" i="5" s="1"/>
  <c r="AH385" i="5" a="1"/>
  <c r="AH385" i="5" s="1"/>
  <c r="AG385" i="5" a="1"/>
  <c r="AG385" i="5" s="1"/>
  <c r="AF385" i="5" a="1"/>
  <c r="AF385" i="5" s="1"/>
  <c r="AE385" i="5" a="1"/>
  <c r="AE385" i="5" s="1"/>
  <c r="AD385" i="5" a="1"/>
  <c r="AD385" i="5" s="1"/>
  <c r="AC385" i="5" a="1"/>
  <c r="AC385" i="5" s="1"/>
  <c r="AB385" i="5" a="1"/>
  <c r="AB385" i="5" s="1"/>
  <c r="AA385" i="5" a="1"/>
  <c r="AA385" i="5" s="1"/>
  <c r="Z385" i="5" a="1"/>
  <c r="Z385" i="5" s="1"/>
  <c r="Y385" i="5" a="1"/>
  <c r="Y385" i="5" s="1"/>
  <c r="X385" i="5" a="1"/>
  <c r="X385" i="5" s="1"/>
  <c r="W385" i="5" a="1"/>
  <c r="W385" i="5" s="1"/>
  <c r="V385" i="5" a="1"/>
  <c r="V385" i="5" s="1"/>
  <c r="U385" i="5" a="1"/>
  <c r="U385" i="5" s="1"/>
  <c r="T385" i="5" a="1"/>
  <c r="T385" i="5" s="1"/>
  <c r="R385" i="5"/>
  <c r="P385" i="5"/>
  <c r="H385" i="5"/>
  <c r="G385" i="5"/>
  <c r="B433" i="5"/>
  <c r="B420" i="5"/>
  <c r="B407" i="5"/>
  <c r="E443" i="5"/>
  <c r="AZ442" i="5" a="1"/>
  <c r="AZ442" i="5" s="1"/>
  <c r="AY442" i="5" a="1"/>
  <c r="AY442" i="5" s="1"/>
  <c r="AX442" i="5" a="1"/>
  <c r="AX442" i="5" s="1"/>
  <c r="AW442" i="5" a="1"/>
  <c r="AW442" i="5" s="1"/>
  <c r="AV442" i="5" a="1"/>
  <c r="AV442" i="5" s="1"/>
  <c r="AU442" i="5" a="1"/>
  <c r="AU442" i="5" s="1"/>
  <c r="AT442" i="5" a="1"/>
  <c r="AT442" i="5" s="1"/>
  <c r="AS442" i="5" a="1"/>
  <c r="AS442" i="5" s="1"/>
  <c r="AR442" i="5" a="1"/>
  <c r="AR442" i="5" s="1"/>
  <c r="AQ442" i="5" a="1"/>
  <c r="AQ442" i="5" s="1"/>
  <c r="AP442" i="5" a="1"/>
  <c r="AP442" i="5" s="1"/>
  <c r="AO442" i="5" a="1"/>
  <c r="AO442" i="5" s="1"/>
  <c r="AN442" i="5" a="1"/>
  <c r="AN442" i="5" s="1"/>
  <c r="AM442" i="5" a="1"/>
  <c r="AM442" i="5" s="1"/>
  <c r="AL442" i="5" a="1"/>
  <c r="AL442" i="5" s="1"/>
  <c r="AK442" i="5" a="1"/>
  <c r="AK442" i="5" s="1"/>
  <c r="AJ442" i="5" a="1"/>
  <c r="AJ442" i="5" s="1"/>
  <c r="AI442" i="5" a="1"/>
  <c r="AI442" i="5" s="1"/>
  <c r="AH442" i="5" a="1"/>
  <c r="AH442" i="5" s="1"/>
  <c r="AG442" i="5" a="1"/>
  <c r="AG442" i="5" s="1"/>
  <c r="AF442" i="5" a="1"/>
  <c r="AF442" i="5" s="1"/>
  <c r="AE442" i="5" a="1"/>
  <c r="AE442" i="5" s="1"/>
  <c r="AD442" i="5" a="1"/>
  <c r="AD442" i="5" s="1"/>
  <c r="AC442" i="5" a="1"/>
  <c r="AC442" i="5" s="1"/>
  <c r="AB442" i="5" a="1"/>
  <c r="AB442" i="5" s="1"/>
  <c r="AA442" i="5" a="1"/>
  <c r="AA442" i="5" s="1"/>
  <c r="Z442" i="5" a="1"/>
  <c r="Z442" i="5" s="1"/>
  <c r="Y442" i="5" a="1"/>
  <c r="Y442" i="5" s="1"/>
  <c r="X442" i="5" a="1"/>
  <c r="X442" i="5" s="1"/>
  <c r="W442" i="5" a="1"/>
  <c r="W442" i="5" s="1"/>
  <c r="V442" i="5" a="1"/>
  <c r="V442" i="5" s="1"/>
  <c r="U442" i="5" a="1"/>
  <c r="U442" i="5" s="1"/>
  <c r="T442" i="5" a="1"/>
  <c r="T442" i="5" s="1"/>
  <c r="R442" i="5"/>
  <c r="P442" i="5"/>
  <c r="H442" i="5"/>
  <c r="G442" i="5"/>
  <c r="AZ441" i="5" a="1"/>
  <c r="AZ441" i="5" s="1"/>
  <c r="AY441" i="5" a="1"/>
  <c r="AY441" i="5" s="1"/>
  <c r="AX441" i="5" a="1"/>
  <c r="AX441" i="5" s="1"/>
  <c r="AW441" i="5" a="1"/>
  <c r="AW441" i="5" s="1"/>
  <c r="AV441" i="5" a="1"/>
  <c r="AV441" i="5" s="1"/>
  <c r="AU441" i="5" a="1"/>
  <c r="AU441" i="5" s="1"/>
  <c r="AT441" i="5" a="1"/>
  <c r="AT441" i="5" s="1"/>
  <c r="AS441" i="5" a="1"/>
  <c r="AS441" i="5" s="1"/>
  <c r="AR441" i="5" a="1"/>
  <c r="AR441" i="5" s="1"/>
  <c r="AQ441" i="5" a="1"/>
  <c r="AQ441" i="5" s="1"/>
  <c r="AP441" i="5" a="1"/>
  <c r="AP441" i="5" s="1"/>
  <c r="AO441" i="5" a="1"/>
  <c r="AO441" i="5" s="1"/>
  <c r="AN441" i="5" a="1"/>
  <c r="AN441" i="5" s="1"/>
  <c r="AM441" i="5" a="1"/>
  <c r="AM441" i="5" s="1"/>
  <c r="AL441" i="5" a="1"/>
  <c r="AL441" i="5" s="1"/>
  <c r="AK441" i="5" a="1"/>
  <c r="AK441" i="5" s="1"/>
  <c r="AJ441" i="5" a="1"/>
  <c r="AJ441" i="5" s="1"/>
  <c r="AI441" i="5" a="1"/>
  <c r="AI441" i="5" s="1"/>
  <c r="AH441" i="5" a="1"/>
  <c r="AH441" i="5" s="1"/>
  <c r="AG441" i="5" a="1"/>
  <c r="AG441" i="5" s="1"/>
  <c r="AF441" i="5" a="1"/>
  <c r="AF441" i="5" s="1"/>
  <c r="AE441" i="5" a="1"/>
  <c r="AE441" i="5" s="1"/>
  <c r="AD441" i="5" a="1"/>
  <c r="AD441" i="5" s="1"/>
  <c r="AC441" i="5" a="1"/>
  <c r="AC441" i="5" s="1"/>
  <c r="AB441" i="5" a="1"/>
  <c r="AB441" i="5" s="1"/>
  <c r="AA441" i="5" a="1"/>
  <c r="AA441" i="5" s="1"/>
  <c r="Z441" i="5" a="1"/>
  <c r="Z441" i="5" s="1"/>
  <c r="Y441" i="5" a="1"/>
  <c r="Y441" i="5" s="1"/>
  <c r="X441" i="5" a="1"/>
  <c r="X441" i="5" s="1"/>
  <c r="W441" i="5" a="1"/>
  <c r="W441" i="5" s="1"/>
  <c r="V441" i="5" a="1"/>
  <c r="V441" i="5" s="1"/>
  <c r="U441" i="5" a="1"/>
  <c r="U441" i="5" s="1"/>
  <c r="T441" i="5" a="1"/>
  <c r="T441" i="5" s="1"/>
  <c r="R441" i="5"/>
  <c r="P441" i="5"/>
  <c r="H441" i="5"/>
  <c r="G441" i="5"/>
  <c r="AZ440" i="5" a="1"/>
  <c r="AZ440" i="5" s="1"/>
  <c r="AY440" i="5" a="1"/>
  <c r="AY440" i="5" s="1"/>
  <c r="AX440" i="5" a="1"/>
  <c r="AX440" i="5" s="1"/>
  <c r="AW440" i="5" a="1"/>
  <c r="AW440" i="5" s="1"/>
  <c r="AV440" i="5" a="1"/>
  <c r="AV440" i="5" s="1"/>
  <c r="AU440" i="5" a="1"/>
  <c r="AU440" i="5" s="1"/>
  <c r="AT440" i="5" a="1"/>
  <c r="AT440" i="5" s="1"/>
  <c r="AS440" i="5" a="1"/>
  <c r="AS440" i="5" s="1"/>
  <c r="AR440" i="5" a="1"/>
  <c r="AR440" i="5" s="1"/>
  <c r="AQ440" i="5" a="1"/>
  <c r="AQ440" i="5" s="1"/>
  <c r="AP440" i="5" a="1"/>
  <c r="AP440" i="5" s="1"/>
  <c r="AO440" i="5" a="1"/>
  <c r="AO440" i="5" s="1"/>
  <c r="AN440" i="5" a="1"/>
  <c r="AN440" i="5" s="1"/>
  <c r="AM440" i="5" a="1"/>
  <c r="AM440" i="5" s="1"/>
  <c r="AL440" i="5" a="1"/>
  <c r="AL440" i="5" s="1"/>
  <c r="AK440" i="5" a="1"/>
  <c r="AK440" i="5" s="1"/>
  <c r="AJ440" i="5" a="1"/>
  <c r="AJ440" i="5" s="1"/>
  <c r="AI440" i="5" a="1"/>
  <c r="AI440" i="5" s="1"/>
  <c r="AH440" i="5" a="1"/>
  <c r="AH440" i="5" s="1"/>
  <c r="AG440" i="5" a="1"/>
  <c r="AG440" i="5" s="1"/>
  <c r="AF440" i="5" a="1"/>
  <c r="AF440" i="5" s="1"/>
  <c r="AE440" i="5" a="1"/>
  <c r="AE440" i="5" s="1"/>
  <c r="AD440" i="5" a="1"/>
  <c r="AD440" i="5" s="1"/>
  <c r="AC440" i="5" a="1"/>
  <c r="AC440" i="5" s="1"/>
  <c r="AB440" i="5" a="1"/>
  <c r="AB440" i="5" s="1"/>
  <c r="AA440" i="5" a="1"/>
  <c r="AA440" i="5" s="1"/>
  <c r="Z440" i="5" a="1"/>
  <c r="Z440" i="5" s="1"/>
  <c r="Y440" i="5" a="1"/>
  <c r="Y440" i="5" s="1"/>
  <c r="X440" i="5" a="1"/>
  <c r="X440" i="5" s="1"/>
  <c r="W440" i="5" a="1"/>
  <c r="W440" i="5" s="1"/>
  <c r="V440" i="5" a="1"/>
  <c r="V440" i="5" s="1"/>
  <c r="U440" i="5" a="1"/>
  <c r="U440" i="5" s="1"/>
  <c r="T440" i="5" a="1"/>
  <c r="T440" i="5" s="1"/>
  <c r="R440" i="5"/>
  <c r="P440" i="5"/>
  <c r="H440" i="5"/>
  <c r="G440" i="5"/>
  <c r="R439" i="5"/>
  <c r="P439" i="5"/>
  <c r="AQ439" i="5" s="1" a="1"/>
  <c r="AQ439" i="5" s="1"/>
  <c r="H439" i="5"/>
  <c r="G439" i="5"/>
  <c r="P438" i="5"/>
  <c r="AT438" i="5" s="1" a="1"/>
  <c r="AT438" i="5" s="1"/>
  <c r="P437" i="5"/>
  <c r="AU437" i="5" s="1" a="1"/>
  <c r="AU437" i="5" s="1"/>
  <c r="B394" i="5"/>
  <c r="B368" i="5"/>
  <c r="B355" i="5"/>
  <c r="B342" i="5"/>
  <c r="E430" i="5"/>
  <c r="R427" i="5"/>
  <c r="G427" i="5" s="1"/>
  <c r="H427" i="5" s="1"/>
  <c r="AZ425" i="5" a="1"/>
  <c r="AZ425" i="5" s="1"/>
  <c r="AY425" i="5" a="1"/>
  <c r="AY425" i="5" s="1"/>
  <c r="AX425" i="5" a="1"/>
  <c r="AX425" i="5" s="1"/>
  <c r="AW425" i="5" a="1"/>
  <c r="AW425" i="5" s="1"/>
  <c r="AV425" i="5" a="1"/>
  <c r="AV425" i="5" s="1"/>
  <c r="AU425" i="5" a="1"/>
  <c r="AU425" i="5" s="1"/>
  <c r="AT425" i="5" a="1"/>
  <c r="AT425" i="5" s="1"/>
  <c r="AS425" i="5" a="1"/>
  <c r="AS425" i="5" s="1"/>
  <c r="AR425" i="5" a="1"/>
  <c r="AR425" i="5" s="1"/>
  <c r="AQ425" i="5" a="1"/>
  <c r="AQ425" i="5" s="1"/>
  <c r="AP425" i="5" a="1"/>
  <c r="AP425" i="5" s="1"/>
  <c r="AO425" i="5" a="1"/>
  <c r="AO425" i="5" s="1"/>
  <c r="AN425" i="5" a="1"/>
  <c r="AN425" i="5" s="1"/>
  <c r="AM425" i="5" a="1"/>
  <c r="AM425" i="5" s="1"/>
  <c r="AL425" i="5" a="1"/>
  <c r="AL425" i="5" s="1"/>
  <c r="AK425" i="5" a="1"/>
  <c r="AK425" i="5" s="1"/>
  <c r="AJ425" i="5" a="1"/>
  <c r="AJ425" i="5" s="1"/>
  <c r="AI425" i="5" a="1"/>
  <c r="AI425" i="5" s="1"/>
  <c r="AH425" i="5" a="1"/>
  <c r="AH425" i="5" s="1"/>
  <c r="AG425" i="5" a="1"/>
  <c r="AG425" i="5" s="1"/>
  <c r="AF425" i="5" a="1"/>
  <c r="AF425" i="5" s="1"/>
  <c r="AE425" i="5" a="1"/>
  <c r="AE425" i="5" s="1"/>
  <c r="AD425" i="5" a="1"/>
  <c r="AD425" i="5" s="1"/>
  <c r="AC425" i="5" a="1"/>
  <c r="AC425" i="5" s="1"/>
  <c r="AB425" i="5" a="1"/>
  <c r="AB425" i="5" s="1"/>
  <c r="AA425" i="5" a="1"/>
  <c r="AA425" i="5" s="1"/>
  <c r="Z425" i="5" a="1"/>
  <c r="Z425" i="5" s="1"/>
  <c r="Y425" i="5" a="1"/>
  <c r="Y425" i="5" s="1"/>
  <c r="X425" i="5" a="1"/>
  <c r="X425" i="5" s="1"/>
  <c r="W425" i="5" a="1"/>
  <c r="W425" i="5" s="1"/>
  <c r="V425" i="5" a="1"/>
  <c r="V425" i="5" s="1"/>
  <c r="U425" i="5" a="1"/>
  <c r="U425" i="5" s="1"/>
  <c r="T425" i="5" a="1"/>
  <c r="T425" i="5" s="1"/>
  <c r="R425" i="5"/>
  <c r="P425" i="5"/>
  <c r="H425" i="5"/>
  <c r="G425" i="5"/>
  <c r="AZ424" i="5" a="1"/>
  <c r="AZ424" i="5" s="1"/>
  <c r="AY424" i="5" a="1"/>
  <c r="AY424" i="5" s="1"/>
  <c r="AX424" i="5" a="1"/>
  <c r="AX424" i="5" s="1"/>
  <c r="AW424" i="5" a="1"/>
  <c r="AW424" i="5" s="1"/>
  <c r="AV424" i="5" a="1"/>
  <c r="AV424" i="5" s="1"/>
  <c r="AU424" i="5" a="1"/>
  <c r="AU424" i="5" s="1"/>
  <c r="AT424" i="5" a="1"/>
  <c r="AT424" i="5" s="1"/>
  <c r="AS424" i="5" a="1"/>
  <c r="AS424" i="5" s="1"/>
  <c r="AR424" i="5" a="1"/>
  <c r="AR424" i="5" s="1"/>
  <c r="AQ424" i="5" a="1"/>
  <c r="AQ424" i="5" s="1"/>
  <c r="AP424" i="5" a="1"/>
  <c r="AP424" i="5" s="1"/>
  <c r="AO424" i="5" a="1"/>
  <c r="AO424" i="5" s="1"/>
  <c r="AN424" i="5" a="1"/>
  <c r="AN424" i="5" s="1"/>
  <c r="AM424" i="5" a="1"/>
  <c r="AM424" i="5" s="1"/>
  <c r="AL424" i="5" a="1"/>
  <c r="AL424" i="5" s="1"/>
  <c r="AK424" i="5" a="1"/>
  <c r="AK424" i="5" s="1"/>
  <c r="AJ424" i="5" a="1"/>
  <c r="AJ424" i="5" s="1"/>
  <c r="AI424" i="5" a="1"/>
  <c r="AI424" i="5" s="1"/>
  <c r="AH424" i="5" a="1"/>
  <c r="AH424" i="5" s="1"/>
  <c r="AG424" i="5" a="1"/>
  <c r="AG424" i="5" s="1"/>
  <c r="AF424" i="5" a="1"/>
  <c r="AF424" i="5" s="1"/>
  <c r="AE424" i="5" a="1"/>
  <c r="AE424" i="5" s="1"/>
  <c r="AD424" i="5" a="1"/>
  <c r="AD424" i="5" s="1"/>
  <c r="AC424" i="5" a="1"/>
  <c r="AC424" i="5" s="1"/>
  <c r="AB424" i="5" a="1"/>
  <c r="AB424" i="5" s="1"/>
  <c r="AA424" i="5" a="1"/>
  <c r="AA424" i="5" s="1"/>
  <c r="Z424" i="5" a="1"/>
  <c r="Z424" i="5" s="1"/>
  <c r="Y424" i="5" a="1"/>
  <c r="Y424" i="5" s="1"/>
  <c r="X424" i="5" a="1"/>
  <c r="X424" i="5" s="1"/>
  <c r="W424" i="5" a="1"/>
  <c r="W424" i="5" s="1"/>
  <c r="V424" i="5" a="1"/>
  <c r="V424" i="5" s="1"/>
  <c r="U424" i="5" a="1"/>
  <c r="U424" i="5" s="1"/>
  <c r="T424" i="5" a="1"/>
  <c r="T424" i="5" s="1"/>
  <c r="R424" i="5"/>
  <c r="P424" i="5"/>
  <c r="H424" i="5"/>
  <c r="G424" i="5"/>
  <c r="E417" i="5"/>
  <c r="AZ416" i="5" a="1"/>
  <c r="AZ416" i="5" s="1"/>
  <c r="AY416" i="5" a="1"/>
  <c r="AY416" i="5" s="1"/>
  <c r="AX416" i="5" a="1"/>
  <c r="AX416" i="5" s="1"/>
  <c r="AW416" i="5" a="1"/>
  <c r="AW416" i="5" s="1"/>
  <c r="AV416" i="5" a="1"/>
  <c r="AV416" i="5" s="1"/>
  <c r="AU416" i="5" a="1"/>
  <c r="AU416" i="5" s="1"/>
  <c r="AT416" i="5" a="1"/>
  <c r="AT416" i="5" s="1"/>
  <c r="AS416" i="5" a="1"/>
  <c r="AS416" i="5" s="1"/>
  <c r="AR416" i="5" a="1"/>
  <c r="AR416" i="5" s="1"/>
  <c r="AQ416" i="5" a="1"/>
  <c r="AQ416" i="5" s="1"/>
  <c r="AP416" i="5" a="1"/>
  <c r="AP416" i="5" s="1"/>
  <c r="AO416" i="5" a="1"/>
  <c r="AO416" i="5" s="1"/>
  <c r="AN416" i="5" a="1"/>
  <c r="AN416" i="5" s="1"/>
  <c r="AM416" i="5" a="1"/>
  <c r="AM416" i="5" s="1"/>
  <c r="AL416" i="5" a="1"/>
  <c r="AL416" i="5" s="1"/>
  <c r="AK416" i="5" a="1"/>
  <c r="AK416" i="5" s="1"/>
  <c r="AJ416" i="5" a="1"/>
  <c r="AJ416" i="5" s="1"/>
  <c r="AI416" i="5" a="1"/>
  <c r="AI416" i="5" s="1"/>
  <c r="AH416" i="5" a="1"/>
  <c r="AH416" i="5" s="1"/>
  <c r="AG416" i="5" a="1"/>
  <c r="AG416" i="5" s="1"/>
  <c r="AF416" i="5" a="1"/>
  <c r="AF416" i="5" s="1"/>
  <c r="AE416" i="5" a="1"/>
  <c r="AE416" i="5" s="1"/>
  <c r="AD416" i="5" a="1"/>
  <c r="AD416" i="5" s="1"/>
  <c r="AC416" i="5" a="1"/>
  <c r="AC416" i="5" s="1"/>
  <c r="AB416" i="5" a="1"/>
  <c r="AB416" i="5" s="1"/>
  <c r="AA416" i="5" a="1"/>
  <c r="AA416" i="5" s="1"/>
  <c r="Z416" i="5" a="1"/>
  <c r="Z416" i="5" s="1"/>
  <c r="Y416" i="5" a="1"/>
  <c r="Y416" i="5" s="1"/>
  <c r="X416" i="5" a="1"/>
  <c r="X416" i="5" s="1"/>
  <c r="W416" i="5" a="1"/>
  <c r="W416" i="5" s="1"/>
  <c r="V416" i="5" a="1"/>
  <c r="V416" i="5" s="1"/>
  <c r="U416" i="5" a="1"/>
  <c r="U416" i="5" s="1"/>
  <c r="T416" i="5" a="1"/>
  <c r="T416" i="5" s="1"/>
  <c r="R416" i="5"/>
  <c r="P416" i="5"/>
  <c r="H416" i="5"/>
  <c r="G416" i="5"/>
  <c r="AZ415" i="5" a="1"/>
  <c r="AZ415" i="5" s="1"/>
  <c r="AY415" i="5" a="1"/>
  <c r="AY415" i="5" s="1"/>
  <c r="AX415" i="5" a="1"/>
  <c r="AX415" i="5" s="1"/>
  <c r="AW415" i="5" a="1"/>
  <c r="AW415" i="5" s="1"/>
  <c r="AV415" i="5" a="1"/>
  <c r="AV415" i="5" s="1"/>
  <c r="AU415" i="5" a="1"/>
  <c r="AU415" i="5" s="1"/>
  <c r="AT415" i="5" a="1"/>
  <c r="AT415" i="5" s="1"/>
  <c r="AS415" i="5" a="1"/>
  <c r="AS415" i="5" s="1"/>
  <c r="AR415" i="5" a="1"/>
  <c r="AR415" i="5" s="1"/>
  <c r="AQ415" i="5" a="1"/>
  <c r="AQ415" i="5" s="1"/>
  <c r="AP415" i="5" a="1"/>
  <c r="AP415" i="5" s="1"/>
  <c r="AO415" i="5" a="1"/>
  <c r="AO415" i="5" s="1"/>
  <c r="AN415" i="5" a="1"/>
  <c r="AN415" i="5" s="1"/>
  <c r="AM415" i="5" a="1"/>
  <c r="AM415" i="5" s="1"/>
  <c r="AL415" i="5" a="1"/>
  <c r="AL415" i="5" s="1"/>
  <c r="AK415" i="5" a="1"/>
  <c r="AK415" i="5" s="1"/>
  <c r="AJ415" i="5" a="1"/>
  <c r="AJ415" i="5" s="1"/>
  <c r="AI415" i="5" a="1"/>
  <c r="AI415" i="5" s="1"/>
  <c r="AH415" i="5" a="1"/>
  <c r="AH415" i="5" s="1"/>
  <c r="AG415" i="5" a="1"/>
  <c r="AG415" i="5" s="1"/>
  <c r="AF415" i="5" a="1"/>
  <c r="AF415" i="5" s="1"/>
  <c r="AE415" i="5" a="1"/>
  <c r="AE415" i="5" s="1"/>
  <c r="AD415" i="5" a="1"/>
  <c r="AD415" i="5" s="1"/>
  <c r="AC415" i="5" a="1"/>
  <c r="AC415" i="5" s="1"/>
  <c r="AB415" i="5" a="1"/>
  <c r="AB415" i="5" s="1"/>
  <c r="AA415" i="5" a="1"/>
  <c r="AA415" i="5" s="1"/>
  <c r="Z415" i="5" a="1"/>
  <c r="Z415" i="5" s="1"/>
  <c r="Y415" i="5" a="1"/>
  <c r="Y415" i="5" s="1"/>
  <c r="X415" i="5" a="1"/>
  <c r="X415" i="5" s="1"/>
  <c r="W415" i="5" a="1"/>
  <c r="W415" i="5" s="1"/>
  <c r="V415" i="5" a="1"/>
  <c r="V415" i="5" s="1"/>
  <c r="U415" i="5" a="1"/>
  <c r="U415" i="5" s="1"/>
  <c r="T415" i="5" a="1"/>
  <c r="T415" i="5" s="1"/>
  <c r="R415" i="5"/>
  <c r="P415" i="5"/>
  <c r="H415" i="5"/>
  <c r="G415" i="5"/>
  <c r="AZ414" i="5" a="1"/>
  <c r="AZ414" i="5" s="1"/>
  <c r="AY414" i="5" a="1"/>
  <c r="AY414" i="5" s="1"/>
  <c r="AX414" i="5" a="1"/>
  <c r="AX414" i="5" s="1"/>
  <c r="AW414" i="5" a="1"/>
  <c r="AW414" i="5" s="1"/>
  <c r="AV414" i="5" a="1"/>
  <c r="AV414" i="5" s="1"/>
  <c r="AU414" i="5" a="1"/>
  <c r="AU414" i="5" s="1"/>
  <c r="AT414" i="5" a="1"/>
  <c r="AT414" i="5" s="1"/>
  <c r="AS414" i="5" a="1"/>
  <c r="AS414" i="5" s="1"/>
  <c r="AR414" i="5" a="1"/>
  <c r="AR414" i="5" s="1"/>
  <c r="AQ414" i="5" a="1"/>
  <c r="AQ414" i="5" s="1"/>
  <c r="AP414" i="5" a="1"/>
  <c r="AP414" i="5" s="1"/>
  <c r="AO414" i="5" a="1"/>
  <c r="AO414" i="5" s="1"/>
  <c r="AN414" i="5" a="1"/>
  <c r="AN414" i="5" s="1"/>
  <c r="AM414" i="5" a="1"/>
  <c r="AM414" i="5" s="1"/>
  <c r="AL414" i="5" a="1"/>
  <c r="AL414" i="5" s="1"/>
  <c r="AK414" i="5" a="1"/>
  <c r="AK414" i="5" s="1"/>
  <c r="AJ414" i="5" a="1"/>
  <c r="AJ414" i="5" s="1"/>
  <c r="AI414" i="5" a="1"/>
  <c r="AI414" i="5" s="1"/>
  <c r="AH414" i="5" a="1"/>
  <c r="AH414" i="5" s="1"/>
  <c r="AG414" i="5" a="1"/>
  <c r="AG414" i="5" s="1"/>
  <c r="AF414" i="5" a="1"/>
  <c r="AF414" i="5" s="1"/>
  <c r="AE414" i="5" a="1"/>
  <c r="AE414" i="5" s="1"/>
  <c r="AD414" i="5" a="1"/>
  <c r="AD414" i="5" s="1"/>
  <c r="AC414" i="5" a="1"/>
  <c r="AC414" i="5" s="1"/>
  <c r="AB414" i="5" a="1"/>
  <c r="AB414" i="5" s="1"/>
  <c r="AA414" i="5" a="1"/>
  <c r="AA414" i="5" s="1"/>
  <c r="Z414" i="5" a="1"/>
  <c r="Z414" i="5" s="1"/>
  <c r="Y414" i="5" a="1"/>
  <c r="Y414" i="5" s="1"/>
  <c r="X414" i="5" a="1"/>
  <c r="X414" i="5" s="1"/>
  <c r="W414" i="5" a="1"/>
  <c r="W414" i="5" s="1"/>
  <c r="V414" i="5" a="1"/>
  <c r="V414" i="5" s="1"/>
  <c r="U414" i="5" a="1"/>
  <c r="U414" i="5" s="1"/>
  <c r="T414" i="5" a="1"/>
  <c r="T414" i="5" s="1"/>
  <c r="R414" i="5"/>
  <c r="P414" i="5"/>
  <c r="H414" i="5"/>
  <c r="G414" i="5"/>
  <c r="AZ413" i="5" a="1"/>
  <c r="AZ413" i="5" s="1"/>
  <c r="AY413" i="5" a="1"/>
  <c r="AY413" i="5" s="1"/>
  <c r="AX413" i="5" a="1"/>
  <c r="AX413" i="5" s="1"/>
  <c r="AW413" i="5" a="1"/>
  <c r="AW413" i="5" s="1"/>
  <c r="AV413" i="5" a="1"/>
  <c r="AV413" i="5" s="1"/>
  <c r="AU413" i="5" a="1"/>
  <c r="AU413" i="5" s="1"/>
  <c r="AT413" i="5" a="1"/>
  <c r="AT413" i="5" s="1"/>
  <c r="AS413" i="5" a="1"/>
  <c r="AS413" i="5" s="1"/>
  <c r="AR413" i="5" a="1"/>
  <c r="AR413" i="5" s="1"/>
  <c r="AQ413" i="5" a="1"/>
  <c r="AQ413" i="5" s="1"/>
  <c r="AP413" i="5" a="1"/>
  <c r="AP413" i="5" s="1"/>
  <c r="AO413" i="5" a="1"/>
  <c r="AO413" i="5" s="1"/>
  <c r="AN413" i="5" a="1"/>
  <c r="AN413" i="5" s="1"/>
  <c r="AM413" i="5" a="1"/>
  <c r="AM413" i="5" s="1"/>
  <c r="AL413" i="5" a="1"/>
  <c r="AL413" i="5" s="1"/>
  <c r="AK413" i="5" a="1"/>
  <c r="AK413" i="5" s="1"/>
  <c r="AJ413" i="5" a="1"/>
  <c r="AJ413" i="5" s="1"/>
  <c r="AI413" i="5" a="1"/>
  <c r="AI413" i="5" s="1"/>
  <c r="AH413" i="5" a="1"/>
  <c r="AH413" i="5" s="1"/>
  <c r="AG413" i="5" a="1"/>
  <c r="AG413" i="5" s="1"/>
  <c r="AF413" i="5" a="1"/>
  <c r="AF413" i="5" s="1"/>
  <c r="AE413" i="5" a="1"/>
  <c r="AE413" i="5" s="1"/>
  <c r="AD413" i="5" a="1"/>
  <c r="AD413" i="5" s="1"/>
  <c r="AC413" i="5" a="1"/>
  <c r="AC413" i="5" s="1"/>
  <c r="AB413" i="5" a="1"/>
  <c r="AB413" i="5" s="1"/>
  <c r="AA413" i="5" a="1"/>
  <c r="AA413" i="5" s="1"/>
  <c r="Z413" i="5" a="1"/>
  <c r="Z413" i="5" s="1"/>
  <c r="Y413" i="5" a="1"/>
  <c r="Y413" i="5" s="1"/>
  <c r="X413" i="5" a="1"/>
  <c r="X413" i="5" s="1"/>
  <c r="W413" i="5" a="1"/>
  <c r="W413" i="5" s="1"/>
  <c r="V413" i="5" a="1"/>
  <c r="V413" i="5" s="1"/>
  <c r="U413" i="5" a="1"/>
  <c r="U413" i="5" s="1"/>
  <c r="T413" i="5" a="1"/>
  <c r="T413" i="5" s="1"/>
  <c r="R413" i="5"/>
  <c r="P413" i="5"/>
  <c r="H413" i="5"/>
  <c r="G413" i="5"/>
  <c r="AO412" i="5" a="1"/>
  <c r="AO412" i="5" s="1"/>
  <c r="AK412" i="5" a="1"/>
  <c r="AK412" i="5" s="1"/>
  <c r="Y412" i="5" a="1"/>
  <c r="Y412" i="5" s="1"/>
  <c r="U412" i="5" a="1"/>
  <c r="U412" i="5" s="1"/>
  <c r="R412" i="5"/>
  <c r="G412" i="5" s="1"/>
  <c r="H412" i="5" s="1"/>
  <c r="P412" i="5"/>
  <c r="AZ412" i="5" s="1" a="1"/>
  <c r="AZ412" i="5" s="1"/>
  <c r="AT411" i="5" a="1"/>
  <c r="AT411" i="5" s="1"/>
  <c r="AD411" i="5" a="1"/>
  <c r="AD411" i="5" s="1"/>
  <c r="R411" i="5"/>
  <c r="G411" i="5" s="1"/>
  <c r="H411" i="5" s="1"/>
  <c r="P411" i="5"/>
  <c r="AO411" i="5" s="1" a="1"/>
  <c r="AO411" i="5" s="1"/>
  <c r="E404" i="5"/>
  <c r="AZ403" i="5" a="1"/>
  <c r="AZ403" i="5" s="1"/>
  <c r="AY403" i="5" a="1"/>
  <c r="AY403" i="5" s="1"/>
  <c r="AX403" i="5" a="1"/>
  <c r="AX403" i="5" s="1"/>
  <c r="AW403" i="5" a="1"/>
  <c r="AW403" i="5" s="1"/>
  <c r="AV403" i="5" a="1"/>
  <c r="AV403" i="5" s="1"/>
  <c r="AU403" i="5" a="1"/>
  <c r="AU403" i="5" s="1"/>
  <c r="AT403" i="5" a="1"/>
  <c r="AT403" i="5" s="1"/>
  <c r="AS403" i="5" a="1"/>
  <c r="AS403" i="5" s="1"/>
  <c r="AR403" i="5" a="1"/>
  <c r="AR403" i="5" s="1"/>
  <c r="AQ403" i="5" a="1"/>
  <c r="AQ403" i="5" s="1"/>
  <c r="AP403" i="5" a="1"/>
  <c r="AP403" i="5" s="1"/>
  <c r="AO403" i="5" a="1"/>
  <c r="AO403" i="5" s="1"/>
  <c r="AN403" i="5" a="1"/>
  <c r="AN403" i="5" s="1"/>
  <c r="AM403" i="5" a="1"/>
  <c r="AM403" i="5" s="1"/>
  <c r="AL403" i="5" a="1"/>
  <c r="AL403" i="5" s="1"/>
  <c r="AK403" i="5" a="1"/>
  <c r="AK403" i="5" s="1"/>
  <c r="AJ403" i="5" a="1"/>
  <c r="AJ403" i="5" s="1"/>
  <c r="AI403" i="5" a="1"/>
  <c r="AI403" i="5" s="1"/>
  <c r="AH403" i="5" a="1"/>
  <c r="AH403" i="5" s="1"/>
  <c r="AG403" i="5" a="1"/>
  <c r="AG403" i="5" s="1"/>
  <c r="AF403" i="5" a="1"/>
  <c r="AF403" i="5" s="1"/>
  <c r="AE403" i="5" a="1"/>
  <c r="AE403" i="5" s="1"/>
  <c r="AD403" i="5" a="1"/>
  <c r="AD403" i="5" s="1"/>
  <c r="AC403" i="5" a="1"/>
  <c r="AC403" i="5" s="1"/>
  <c r="AB403" i="5" a="1"/>
  <c r="AB403" i="5" s="1"/>
  <c r="AA403" i="5" a="1"/>
  <c r="AA403" i="5" s="1"/>
  <c r="Z403" i="5" a="1"/>
  <c r="Z403" i="5" s="1"/>
  <c r="Y403" i="5" a="1"/>
  <c r="Y403" i="5" s="1"/>
  <c r="X403" i="5" a="1"/>
  <c r="X403" i="5" s="1"/>
  <c r="W403" i="5" a="1"/>
  <c r="W403" i="5" s="1"/>
  <c r="V403" i="5" a="1"/>
  <c r="V403" i="5" s="1"/>
  <c r="U403" i="5" a="1"/>
  <c r="U403" i="5" s="1"/>
  <c r="T403" i="5" a="1"/>
  <c r="T403" i="5" s="1"/>
  <c r="R403" i="5"/>
  <c r="P403" i="5"/>
  <c r="H403" i="5"/>
  <c r="G403" i="5"/>
  <c r="AZ402" i="5" a="1"/>
  <c r="AZ402" i="5" s="1"/>
  <c r="AY402" i="5" a="1"/>
  <c r="AY402" i="5" s="1"/>
  <c r="AX402" i="5" a="1"/>
  <c r="AX402" i="5" s="1"/>
  <c r="AW402" i="5" a="1"/>
  <c r="AW402" i="5" s="1"/>
  <c r="AV402" i="5" a="1"/>
  <c r="AV402" i="5" s="1"/>
  <c r="AU402" i="5" a="1"/>
  <c r="AU402" i="5" s="1"/>
  <c r="AT402" i="5" a="1"/>
  <c r="AT402" i="5" s="1"/>
  <c r="AS402" i="5" a="1"/>
  <c r="AS402" i="5" s="1"/>
  <c r="AR402" i="5" a="1"/>
  <c r="AR402" i="5" s="1"/>
  <c r="AQ402" i="5" a="1"/>
  <c r="AQ402" i="5" s="1"/>
  <c r="AP402" i="5" a="1"/>
  <c r="AP402" i="5" s="1"/>
  <c r="AO402" i="5" a="1"/>
  <c r="AO402" i="5" s="1"/>
  <c r="AN402" i="5" a="1"/>
  <c r="AN402" i="5" s="1"/>
  <c r="AM402" i="5" a="1"/>
  <c r="AM402" i="5" s="1"/>
  <c r="AL402" i="5" a="1"/>
  <c r="AL402" i="5" s="1"/>
  <c r="AK402" i="5" a="1"/>
  <c r="AK402" i="5" s="1"/>
  <c r="AJ402" i="5" a="1"/>
  <c r="AJ402" i="5" s="1"/>
  <c r="AI402" i="5" a="1"/>
  <c r="AI402" i="5" s="1"/>
  <c r="AH402" i="5" a="1"/>
  <c r="AH402" i="5" s="1"/>
  <c r="AG402" i="5" a="1"/>
  <c r="AG402" i="5" s="1"/>
  <c r="AF402" i="5" a="1"/>
  <c r="AF402" i="5" s="1"/>
  <c r="AE402" i="5" a="1"/>
  <c r="AE402" i="5" s="1"/>
  <c r="AD402" i="5" a="1"/>
  <c r="AD402" i="5" s="1"/>
  <c r="AC402" i="5" a="1"/>
  <c r="AC402" i="5" s="1"/>
  <c r="AB402" i="5" a="1"/>
  <c r="AB402" i="5" s="1"/>
  <c r="AA402" i="5" a="1"/>
  <c r="AA402" i="5" s="1"/>
  <c r="Z402" i="5" a="1"/>
  <c r="Z402" i="5" s="1"/>
  <c r="Y402" i="5" a="1"/>
  <c r="Y402" i="5" s="1"/>
  <c r="X402" i="5" a="1"/>
  <c r="X402" i="5" s="1"/>
  <c r="W402" i="5" a="1"/>
  <c r="W402" i="5" s="1"/>
  <c r="V402" i="5" a="1"/>
  <c r="V402" i="5" s="1"/>
  <c r="U402" i="5" a="1"/>
  <c r="U402" i="5" s="1"/>
  <c r="T402" i="5" a="1"/>
  <c r="T402" i="5" s="1"/>
  <c r="R402" i="5"/>
  <c r="P402" i="5"/>
  <c r="H402" i="5"/>
  <c r="G402" i="5"/>
  <c r="AZ401" i="5" a="1"/>
  <c r="AZ401" i="5" s="1"/>
  <c r="AY401" i="5" a="1"/>
  <c r="AY401" i="5" s="1"/>
  <c r="AX401" i="5" a="1"/>
  <c r="AX401" i="5" s="1"/>
  <c r="AW401" i="5" a="1"/>
  <c r="AW401" i="5" s="1"/>
  <c r="AV401" i="5" a="1"/>
  <c r="AV401" i="5" s="1"/>
  <c r="AU401" i="5" a="1"/>
  <c r="AU401" i="5" s="1"/>
  <c r="AT401" i="5" a="1"/>
  <c r="AT401" i="5" s="1"/>
  <c r="AS401" i="5" a="1"/>
  <c r="AS401" i="5" s="1"/>
  <c r="AR401" i="5" a="1"/>
  <c r="AR401" i="5" s="1"/>
  <c r="AQ401" i="5" a="1"/>
  <c r="AQ401" i="5" s="1"/>
  <c r="AP401" i="5" a="1"/>
  <c r="AP401" i="5" s="1"/>
  <c r="AO401" i="5" a="1"/>
  <c r="AO401" i="5" s="1"/>
  <c r="AN401" i="5" a="1"/>
  <c r="AN401" i="5" s="1"/>
  <c r="AM401" i="5" a="1"/>
  <c r="AM401" i="5" s="1"/>
  <c r="AL401" i="5" a="1"/>
  <c r="AL401" i="5" s="1"/>
  <c r="AK401" i="5" a="1"/>
  <c r="AK401" i="5" s="1"/>
  <c r="AJ401" i="5" a="1"/>
  <c r="AJ401" i="5" s="1"/>
  <c r="AI401" i="5" a="1"/>
  <c r="AI401" i="5" s="1"/>
  <c r="AH401" i="5" a="1"/>
  <c r="AH401" i="5" s="1"/>
  <c r="AG401" i="5" a="1"/>
  <c r="AG401" i="5" s="1"/>
  <c r="AF401" i="5" a="1"/>
  <c r="AF401" i="5" s="1"/>
  <c r="AE401" i="5" a="1"/>
  <c r="AE401" i="5" s="1"/>
  <c r="AD401" i="5" a="1"/>
  <c r="AD401" i="5" s="1"/>
  <c r="AC401" i="5" a="1"/>
  <c r="AC401" i="5" s="1"/>
  <c r="AB401" i="5" a="1"/>
  <c r="AB401" i="5" s="1"/>
  <c r="AA401" i="5" a="1"/>
  <c r="AA401" i="5" s="1"/>
  <c r="Z401" i="5" a="1"/>
  <c r="Z401" i="5" s="1"/>
  <c r="Y401" i="5" a="1"/>
  <c r="Y401" i="5" s="1"/>
  <c r="X401" i="5" a="1"/>
  <c r="X401" i="5" s="1"/>
  <c r="W401" i="5" a="1"/>
  <c r="W401" i="5" s="1"/>
  <c r="V401" i="5" a="1"/>
  <c r="V401" i="5" s="1"/>
  <c r="U401" i="5" a="1"/>
  <c r="U401" i="5" s="1"/>
  <c r="T401" i="5" a="1"/>
  <c r="T401" i="5" s="1"/>
  <c r="R401" i="5"/>
  <c r="P401" i="5"/>
  <c r="H401" i="5"/>
  <c r="G401" i="5"/>
  <c r="AZ400" i="5" a="1"/>
  <c r="AZ400" i="5" s="1"/>
  <c r="AY400" i="5" a="1"/>
  <c r="AY400" i="5" s="1"/>
  <c r="AX400" i="5" a="1"/>
  <c r="AX400" i="5" s="1"/>
  <c r="AW400" i="5" a="1"/>
  <c r="AW400" i="5" s="1"/>
  <c r="AV400" i="5" a="1"/>
  <c r="AV400" i="5" s="1"/>
  <c r="AU400" i="5" a="1"/>
  <c r="AU400" i="5" s="1"/>
  <c r="AT400" i="5" a="1"/>
  <c r="AT400" i="5" s="1"/>
  <c r="AS400" i="5" a="1"/>
  <c r="AS400" i="5" s="1"/>
  <c r="AR400" i="5" a="1"/>
  <c r="AR400" i="5" s="1"/>
  <c r="AQ400" i="5" a="1"/>
  <c r="AQ400" i="5" s="1"/>
  <c r="AP400" i="5" a="1"/>
  <c r="AP400" i="5" s="1"/>
  <c r="AO400" i="5" a="1"/>
  <c r="AO400" i="5" s="1"/>
  <c r="AN400" i="5" a="1"/>
  <c r="AN400" i="5" s="1"/>
  <c r="AM400" i="5" a="1"/>
  <c r="AM400" i="5" s="1"/>
  <c r="AL400" i="5" a="1"/>
  <c r="AL400" i="5" s="1"/>
  <c r="AK400" i="5" a="1"/>
  <c r="AK400" i="5" s="1"/>
  <c r="AJ400" i="5" a="1"/>
  <c r="AJ400" i="5" s="1"/>
  <c r="AI400" i="5" a="1"/>
  <c r="AI400" i="5" s="1"/>
  <c r="AH400" i="5" a="1"/>
  <c r="AH400" i="5" s="1"/>
  <c r="AG400" i="5" a="1"/>
  <c r="AG400" i="5" s="1"/>
  <c r="AF400" i="5" a="1"/>
  <c r="AF400" i="5" s="1"/>
  <c r="AE400" i="5" a="1"/>
  <c r="AE400" i="5" s="1"/>
  <c r="AD400" i="5" a="1"/>
  <c r="AD400" i="5" s="1"/>
  <c r="AC400" i="5" a="1"/>
  <c r="AC400" i="5" s="1"/>
  <c r="AB400" i="5" a="1"/>
  <c r="AB400" i="5" s="1"/>
  <c r="AA400" i="5" a="1"/>
  <c r="AA400" i="5" s="1"/>
  <c r="Z400" i="5" a="1"/>
  <c r="Z400" i="5" s="1"/>
  <c r="Y400" i="5" a="1"/>
  <c r="Y400" i="5" s="1"/>
  <c r="X400" i="5" a="1"/>
  <c r="X400" i="5" s="1"/>
  <c r="W400" i="5" a="1"/>
  <c r="W400" i="5" s="1"/>
  <c r="V400" i="5" a="1"/>
  <c r="V400" i="5" s="1"/>
  <c r="U400" i="5" a="1"/>
  <c r="U400" i="5" s="1"/>
  <c r="T400" i="5" a="1"/>
  <c r="T400" i="5" s="1"/>
  <c r="R400" i="5"/>
  <c r="P400" i="5"/>
  <c r="H400" i="5"/>
  <c r="G400" i="5"/>
  <c r="AZ399" i="5" a="1"/>
  <c r="AZ399" i="5" s="1"/>
  <c r="AY399" i="5" a="1"/>
  <c r="AY399" i="5" s="1"/>
  <c r="AX399" i="5" a="1"/>
  <c r="AX399" i="5" s="1"/>
  <c r="AW399" i="5" a="1"/>
  <c r="AW399" i="5" s="1"/>
  <c r="AV399" i="5" a="1"/>
  <c r="AV399" i="5" s="1"/>
  <c r="AU399" i="5" a="1"/>
  <c r="AU399" i="5" s="1"/>
  <c r="AT399" i="5" a="1"/>
  <c r="AT399" i="5" s="1"/>
  <c r="AS399" i="5" a="1"/>
  <c r="AS399" i="5" s="1"/>
  <c r="AR399" i="5" a="1"/>
  <c r="AR399" i="5" s="1"/>
  <c r="AQ399" i="5" a="1"/>
  <c r="AQ399" i="5" s="1"/>
  <c r="AP399" i="5" a="1"/>
  <c r="AP399" i="5" s="1"/>
  <c r="AO399" i="5" a="1"/>
  <c r="AO399" i="5" s="1"/>
  <c r="AN399" i="5" a="1"/>
  <c r="AN399" i="5" s="1"/>
  <c r="AM399" i="5" a="1"/>
  <c r="AM399" i="5" s="1"/>
  <c r="AL399" i="5" a="1"/>
  <c r="AL399" i="5" s="1"/>
  <c r="AK399" i="5" a="1"/>
  <c r="AK399" i="5" s="1"/>
  <c r="AJ399" i="5" a="1"/>
  <c r="AJ399" i="5" s="1"/>
  <c r="AI399" i="5" a="1"/>
  <c r="AI399" i="5" s="1"/>
  <c r="AH399" i="5" a="1"/>
  <c r="AH399" i="5" s="1"/>
  <c r="AG399" i="5" a="1"/>
  <c r="AG399" i="5" s="1"/>
  <c r="AF399" i="5" a="1"/>
  <c r="AF399" i="5" s="1"/>
  <c r="AE399" i="5" a="1"/>
  <c r="AE399" i="5" s="1"/>
  <c r="AD399" i="5" a="1"/>
  <c r="AD399" i="5" s="1"/>
  <c r="AC399" i="5" a="1"/>
  <c r="AC399" i="5" s="1"/>
  <c r="AB399" i="5" a="1"/>
  <c r="AB399" i="5" s="1"/>
  <c r="AA399" i="5" a="1"/>
  <c r="AA399" i="5" s="1"/>
  <c r="Z399" i="5" a="1"/>
  <c r="Z399" i="5" s="1"/>
  <c r="Y399" i="5" a="1"/>
  <c r="Y399" i="5" s="1"/>
  <c r="X399" i="5" a="1"/>
  <c r="X399" i="5" s="1"/>
  <c r="W399" i="5" a="1"/>
  <c r="W399" i="5" s="1"/>
  <c r="V399" i="5" a="1"/>
  <c r="V399" i="5" s="1"/>
  <c r="U399" i="5" a="1"/>
  <c r="U399" i="5" s="1"/>
  <c r="T399" i="5" a="1"/>
  <c r="T399" i="5" s="1"/>
  <c r="R399" i="5"/>
  <c r="P399" i="5"/>
  <c r="H399" i="5"/>
  <c r="G399" i="5"/>
  <c r="AZ398" i="5" a="1"/>
  <c r="AZ398" i="5" s="1"/>
  <c r="AY398" i="5" a="1"/>
  <c r="AY398" i="5" s="1"/>
  <c r="AX398" i="5" a="1"/>
  <c r="AX398" i="5" s="1"/>
  <c r="AW398" i="5" a="1"/>
  <c r="AW398" i="5" s="1"/>
  <c r="AV398" i="5" a="1"/>
  <c r="AV398" i="5" s="1"/>
  <c r="AU398" i="5" a="1"/>
  <c r="AU398" i="5" s="1"/>
  <c r="AT398" i="5" a="1"/>
  <c r="AT398" i="5" s="1"/>
  <c r="AS398" i="5" a="1"/>
  <c r="AS398" i="5" s="1"/>
  <c r="AR398" i="5" a="1"/>
  <c r="AR398" i="5" s="1"/>
  <c r="AQ398" i="5" a="1"/>
  <c r="AQ398" i="5" s="1"/>
  <c r="AP398" i="5" a="1"/>
  <c r="AP398" i="5" s="1"/>
  <c r="AO398" i="5" a="1"/>
  <c r="AO398" i="5" s="1"/>
  <c r="AN398" i="5" a="1"/>
  <c r="AN398" i="5" s="1"/>
  <c r="AM398" i="5" a="1"/>
  <c r="AM398" i="5" s="1"/>
  <c r="AL398" i="5" a="1"/>
  <c r="AL398" i="5" s="1"/>
  <c r="AK398" i="5" a="1"/>
  <c r="AK398" i="5" s="1"/>
  <c r="AJ398" i="5" a="1"/>
  <c r="AJ398" i="5" s="1"/>
  <c r="AI398" i="5" a="1"/>
  <c r="AI398" i="5" s="1"/>
  <c r="AH398" i="5" a="1"/>
  <c r="AH398" i="5" s="1"/>
  <c r="AG398" i="5" a="1"/>
  <c r="AG398" i="5" s="1"/>
  <c r="AF398" i="5" a="1"/>
  <c r="AF398" i="5" s="1"/>
  <c r="AE398" i="5" a="1"/>
  <c r="AE398" i="5" s="1"/>
  <c r="AD398" i="5" a="1"/>
  <c r="AD398" i="5" s="1"/>
  <c r="AC398" i="5" a="1"/>
  <c r="AC398" i="5" s="1"/>
  <c r="AB398" i="5" a="1"/>
  <c r="AB398" i="5" s="1"/>
  <c r="AA398" i="5" a="1"/>
  <c r="AA398" i="5" s="1"/>
  <c r="Z398" i="5" a="1"/>
  <c r="Z398" i="5" s="1"/>
  <c r="Y398" i="5" a="1"/>
  <c r="Y398" i="5" s="1"/>
  <c r="X398" i="5" a="1"/>
  <c r="X398" i="5" s="1"/>
  <c r="W398" i="5" a="1"/>
  <c r="W398" i="5" s="1"/>
  <c r="V398" i="5" a="1"/>
  <c r="V398" i="5" s="1"/>
  <c r="U398" i="5" a="1"/>
  <c r="U398" i="5" s="1"/>
  <c r="T398" i="5" a="1"/>
  <c r="T398" i="5" s="1"/>
  <c r="R398" i="5"/>
  <c r="P398" i="5"/>
  <c r="H398" i="5"/>
  <c r="G398" i="5"/>
  <c r="E378" i="5"/>
  <c r="AZ377" i="5" a="1"/>
  <c r="AZ377" i="5" s="1"/>
  <c r="AY377" i="5" a="1"/>
  <c r="AY377" i="5" s="1"/>
  <c r="AX377" i="5" a="1"/>
  <c r="AX377" i="5" s="1"/>
  <c r="AW377" i="5" a="1"/>
  <c r="AW377" i="5" s="1"/>
  <c r="AV377" i="5" a="1"/>
  <c r="AV377" i="5" s="1"/>
  <c r="AU377" i="5" a="1"/>
  <c r="AU377" i="5" s="1"/>
  <c r="AT377" i="5" a="1"/>
  <c r="AT377" i="5" s="1"/>
  <c r="AS377" i="5" a="1"/>
  <c r="AS377" i="5" s="1"/>
  <c r="AR377" i="5" a="1"/>
  <c r="AR377" i="5" s="1"/>
  <c r="AQ377" i="5" a="1"/>
  <c r="AQ377" i="5" s="1"/>
  <c r="AP377" i="5" a="1"/>
  <c r="AP377" i="5" s="1"/>
  <c r="AO377" i="5" a="1"/>
  <c r="AO377" i="5" s="1"/>
  <c r="AN377" i="5" a="1"/>
  <c r="AN377" i="5" s="1"/>
  <c r="AM377" i="5" a="1"/>
  <c r="AM377" i="5" s="1"/>
  <c r="AL377" i="5" a="1"/>
  <c r="AL377" i="5" s="1"/>
  <c r="AK377" i="5" a="1"/>
  <c r="AK377" i="5" s="1"/>
  <c r="AJ377" i="5" a="1"/>
  <c r="AJ377" i="5" s="1"/>
  <c r="AI377" i="5" a="1"/>
  <c r="AI377" i="5" s="1"/>
  <c r="AH377" i="5" a="1"/>
  <c r="AH377" i="5" s="1"/>
  <c r="AG377" i="5" a="1"/>
  <c r="AG377" i="5" s="1"/>
  <c r="AF377" i="5" a="1"/>
  <c r="AF377" i="5" s="1"/>
  <c r="AE377" i="5" a="1"/>
  <c r="AE377" i="5" s="1"/>
  <c r="AD377" i="5" a="1"/>
  <c r="AD377" i="5" s="1"/>
  <c r="AC377" i="5" a="1"/>
  <c r="AC377" i="5" s="1"/>
  <c r="AB377" i="5" a="1"/>
  <c r="AB377" i="5" s="1"/>
  <c r="AA377" i="5" a="1"/>
  <c r="AA377" i="5" s="1"/>
  <c r="Z377" i="5" a="1"/>
  <c r="Z377" i="5" s="1"/>
  <c r="Y377" i="5" a="1"/>
  <c r="Y377" i="5" s="1"/>
  <c r="X377" i="5" a="1"/>
  <c r="X377" i="5" s="1"/>
  <c r="W377" i="5" a="1"/>
  <c r="W377" i="5" s="1"/>
  <c r="V377" i="5" a="1"/>
  <c r="V377" i="5" s="1"/>
  <c r="U377" i="5" a="1"/>
  <c r="U377" i="5" s="1"/>
  <c r="T377" i="5" a="1"/>
  <c r="T377" i="5" s="1"/>
  <c r="R377" i="5"/>
  <c r="P377" i="5"/>
  <c r="H377" i="5"/>
  <c r="G377" i="5"/>
  <c r="AZ376" i="5" a="1"/>
  <c r="AZ376" i="5" s="1"/>
  <c r="AY376" i="5" a="1"/>
  <c r="AY376" i="5" s="1"/>
  <c r="AX376" i="5" a="1"/>
  <c r="AX376" i="5" s="1"/>
  <c r="AW376" i="5" a="1"/>
  <c r="AW376" i="5" s="1"/>
  <c r="AV376" i="5" a="1"/>
  <c r="AV376" i="5" s="1"/>
  <c r="AU376" i="5" a="1"/>
  <c r="AU376" i="5" s="1"/>
  <c r="AT376" i="5" a="1"/>
  <c r="AT376" i="5" s="1"/>
  <c r="AS376" i="5" a="1"/>
  <c r="AS376" i="5" s="1"/>
  <c r="AR376" i="5" a="1"/>
  <c r="AR376" i="5" s="1"/>
  <c r="AQ376" i="5" a="1"/>
  <c r="AQ376" i="5" s="1"/>
  <c r="AP376" i="5" a="1"/>
  <c r="AP376" i="5" s="1"/>
  <c r="AO376" i="5" a="1"/>
  <c r="AO376" i="5" s="1"/>
  <c r="AN376" i="5" a="1"/>
  <c r="AN376" i="5" s="1"/>
  <c r="AM376" i="5" a="1"/>
  <c r="AM376" i="5" s="1"/>
  <c r="AL376" i="5" a="1"/>
  <c r="AL376" i="5" s="1"/>
  <c r="AK376" i="5" a="1"/>
  <c r="AK376" i="5" s="1"/>
  <c r="AJ376" i="5" a="1"/>
  <c r="AJ376" i="5" s="1"/>
  <c r="AI376" i="5" a="1"/>
  <c r="AI376" i="5" s="1"/>
  <c r="AH376" i="5" a="1"/>
  <c r="AH376" i="5" s="1"/>
  <c r="AG376" i="5" a="1"/>
  <c r="AG376" i="5" s="1"/>
  <c r="AF376" i="5" a="1"/>
  <c r="AF376" i="5" s="1"/>
  <c r="AE376" i="5" a="1"/>
  <c r="AE376" i="5" s="1"/>
  <c r="AD376" i="5" a="1"/>
  <c r="AD376" i="5" s="1"/>
  <c r="AC376" i="5" a="1"/>
  <c r="AC376" i="5" s="1"/>
  <c r="AB376" i="5" a="1"/>
  <c r="AB376" i="5" s="1"/>
  <c r="AA376" i="5" a="1"/>
  <c r="AA376" i="5" s="1"/>
  <c r="Z376" i="5" a="1"/>
  <c r="Z376" i="5" s="1"/>
  <c r="Y376" i="5" a="1"/>
  <c r="Y376" i="5" s="1"/>
  <c r="X376" i="5" a="1"/>
  <c r="X376" i="5" s="1"/>
  <c r="W376" i="5" a="1"/>
  <c r="W376" i="5" s="1"/>
  <c r="V376" i="5" a="1"/>
  <c r="V376" i="5" s="1"/>
  <c r="U376" i="5" a="1"/>
  <c r="U376" i="5" s="1"/>
  <c r="T376" i="5" a="1"/>
  <c r="T376" i="5" s="1"/>
  <c r="R376" i="5"/>
  <c r="P376" i="5"/>
  <c r="H376" i="5"/>
  <c r="G376" i="5"/>
  <c r="AZ375" i="5" a="1"/>
  <c r="AZ375" i="5" s="1"/>
  <c r="AY375" i="5" a="1"/>
  <c r="AY375" i="5" s="1"/>
  <c r="AX375" i="5" a="1"/>
  <c r="AX375" i="5" s="1"/>
  <c r="AW375" i="5" a="1"/>
  <c r="AW375" i="5" s="1"/>
  <c r="AV375" i="5" a="1"/>
  <c r="AV375" i="5" s="1"/>
  <c r="AU375" i="5" a="1"/>
  <c r="AU375" i="5" s="1"/>
  <c r="AT375" i="5" a="1"/>
  <c r="AT375" i="5" s="1"/>
  <c r="AS375" i="5" a="1"/>
  <c r="AS375" i="5" s="1"/>
  <c r="AR375" i="5" a="1"/>
  <c r="AR375" i="5" s="1"/>
  <c r="AQ375" i="5" a="1"/>
  <c r="AQ375" i="5" s="1"/>
  <c r="AP375" i="5" a="1"/>
  <c r="AP375" i="5" s="1"/>
  <c r="AO375" i="5" a="1"/>
  <c r="AO375" i="5" s="1"/>
  <c r="AN375" i="5" a="1"/>
  <c r="AN375" i="5" s="1"/>
  <c r="AM375" i="5" a="1"/>
  <c r="AM375" i="5" s="1"/>
  <c r="AL375" i="5" a="1"/>
  <c r="AL375" i="5" s="1"/>
  <c r="AK375" i="5" a="1"/>
  <c r="AK375" i="5" s="1"/>
  <c r="AJ375" i="5" a="1"/>
  <c r="AJ375" i="5" s="1"/>
  <c r="AI375" i="5" a="1"/>
  <c r="AI375" i="5" s="1"/>
  <c r="AH375" i="5" a="1"/>
  <c r="AH375" i="5" s="1"/>
  <c r="AG375" i="5" a="1"/>
  <c r="AG375" i="5" s="1"/>
  <c r="AF375" i="5" a="1"/>
  <c r="AF375" i="5" s="1"/>
  <c r="AE375" i="5" a="1"/>
  <c r="AE375" i="5" s="1"/>
  <c r="AD375" i="5" a="1"/>
  <c r="AD375" i="5" s="1"/>
  <c r="AC375" i="5" a="1"/>
  <c r="AC375" i="5" s="1"/>
  <c r="AB375" i="5" a="1"/>
  <c r="AB375" i="5" s="1"/>
  <c r="AA375" i="5" a="1"/>
  <c r="AA375" i="5" s="1"/>
  <c r="Z375" i="5" a="1"/>
  <c r="Z375" i="5" s="1"/>
  <c r="Y375" i="5" a="1"/>
  <c r="Y375" i="5" s="1"/>
  <c r="X375" i="5" a="1"/>
  <c r="X375" i="5" s="1"/>
  <c r="W375" i="5" a="1"/>
  <c r="W375" i="5" s="1"/>
  <c r="V375" i="5" a="1"/>
  <c r="V375" i="5" s="1"/>
  <c r="U375" i="5" a="1"/>
  <c r="U375" i="5" s="1"/>
  <c r="T375" i="5" a="1"/>
  <c r="T375" i="5" s="1"/>
  <c r="R375" i="5"/>
  <c r="P375" i="5"/>
  <c r="H375" i="5"/>
  <c r="G375" i="5"/>
  <c r="AZ374" i="5" a="1"/>
  <c r="AZ374" i="5" s="1"/>
  <c r="AY374" i="5" a="1"/>
  <c r="AY374" i="5" s="1"/>
  <c r="AX374" i="5" a="1"/>
  <c r="AX374" i="5" s="1"/>
  <c r="AW374" i="5" a="1"/>
  <c r="AW374" i="5" s="1"/>
  <c r="AV374" i="5" a="1"/>
  <c r="AV374" i="5" s="1"/>
  <c r="AU374" i="5" a="1"/>
  <c r="AU374" i="5" s="1"/>
  <c r="AT374" i="5" a="1"/>
  <c r="AT374" i="5" s="1"/>
  <c r="AS374" i="5" a="1"/>
  <c r="AS374" i="5" s="1"/>
  <c r="AR374" i="5" a="1"/>
  <c r="AR374" i="5" s="1"/>
  <c r="AQ374" i="5" a="1"/>
  <c r="AQ374" i="5" s="1"/>
  <c r="AP374" i="5" a="1"/>
  <c r="AP374" i="5" s="1"/>
  <c r="AO374" i="5" a="1"/>
  <c r="AO374" i="5" s="1"/>
  <c r="AN374" i="5" a="1"/>
  <c r="AN374" i="5" s="1"/>
  <c r="AM374" i="5" a="1"/>
  <c r="AM374" i="5" s="1"/>
  <c r="AL374" i="5" a="1"/>
  <c r="AL374" i="5" s="1"/>
  <c r="AK374" i="5" a="1"/>
  <c r="AK374" i="5" s="1"/>
  <c r="AJ374" i="5" a="1"/>
  <c r="AJ374" i="5" s="1"/>
  <c r="AI374" i="5" a="1"/>
  <c r="AI374" i="5" s="1"/>
  <c r="AH374" i="5" a="1"/>
  <c r="AH374" i="5" s="1"/>
  <c r="AG374" i="5" a="1"/>
  <c r="AG374" i="5" s="1"/>
  <c r="AF374" i="5" a="1"/>
  <c r="AF374" i="5" s="1"/>
  <c r="AE374" i="5" a="1"/>
  <c r="AE374" i="5" s="1"/>
  <c r="AD374" i="5" a="1"/>
  <c r="AD374" i="5" s="1"/>
  <c r="AC374" i="5" a="1"/>
  <c r="AC374" i="5" s="1"/>
  <c r="AB374" i="5" a="1"/>
  <c r="AB374" i="5" s="1"/>
  <c r="AA374" i="5" a="1"/>
  <c r="AA374" i="5" s="1"/>
  <c r="Z374" i="5" a="1"/>
  <c r="Z374" i="5" s="1"/>
  <c r="Y374" i="5" a="1"/>
  <c r="Y374" i="5" s="1"/>
  <c r="X374" i="5" a="1"/>
  <c r="X374" i="5" s="1"/>
  <c r="W374" i="5" a="1"/>
  <c r="W374" i="5" s="1"/>
  <c r="V374" i="5" a="1"/>
  <c r="V374" i="5" s="1"/>
  <c r="U374" i="5" a="1"/>
  <c r="U374" i="5" s="1"/>
  <c r="T374" i="5" a="1"/>
  <c r="T374" i="5" s="1"/>
  <c r="R374" i="5"/>
  <c r="P374" i="5"/>
  <c r="H374" i="5"/>
  <c r="G374" i="5"/>
  <c r="AZ373" i="5" a="1"/>
  <c r="AZ373" i="5" s="1"/>
  <c r="AY373" i="5" a="1"/>
  <c r="AY373" i="5" s="1"/>
  <c r="AX373" i="5" a="1"/>
  <c r="AX373" i="5" s="1"/>
  <c r="AW373" i="5" a="1"/>
  <c r="AW373" i="5" s="1"/>
  <c r="AV373" i="5" a="1"/>
  <c r="AV373" i="5" s="1"/>
  <c r="AU373" i="5" a="1"/>
  <c r="AU373" i="5" s="1"/>
  <c r="AT373" i="5" a="1"/>
  <c r="AT373" i="5" s="1"/>
  <c r="AS373" i="5" a="1"/>
  <c r="AS373" i="5" s="1"/>
  <c r="AR373" i="5" a="1"/>
  <c r="AR373" i="5" s="1"/>
  <c r="AQ373" i="5" a="1"/>
  <c r="AQ373" i="5" s="1"/>
  <c r="AP373" i="5" a="1"/>
  <c r="AP373" i="5" s="1"/>
  <c r="AO373" i="5" a="1"/>
  <c r="AO373" i="5" s="1"/>
  <c r="AN373" i="5" a="1"/>
  <c r="AN373" i="5" s="1"/>
  <c r="AM373" i="5" a="1"/>
  <c r="AM373" i="5" s="1"/>
  <c r="AL373" i="5" a="1"/>
  <c r="AL373" i="5" s="1"/>
  <c r="AK373" i="5" a="1"/>
  <c r="AK373" i="5" s="1"/>
  <c r="AJ373" i="5" a="1"/>
  <c r="AJ373" i="5" s="1"/>
  <c r="AI373" i="5" a="1"/>
  <c r="AI373" i="5" s="1"/>
  <c r="AH373" i="5" a="1"/>
  <c r="AH373" i="5" s="1"/>
  <c r="AG373" i="5" a="1"/>
  <c r="AG373" i="5" s="1"/>
  <c r="AF373" i="5" a="1"/>
  <c r="AF373" i="5" s="1"/>
  <c r="AE373" i="5" a="1"/>
  <c r="AE373" i="5" s="1"/>
  <c r="AD373" i="5" a="1"/>
  <c r="AD373" i="5" s="1"/>
  <c r="AC373" i="5" a="1"/>
  <c r="AC373" i="5" s="1"/>
  <c r="AB373" i="5" a="1"/>
  <c r="AB373" i="5" s="1"/>
  <c r="AA373" i="5" a="1"/>
  <c r="AA373" i="5" s="1"/>
  <c r="Z373" i="5" a="1"/>
  <c r="Z373" i="5" s="1"/>
  <c r="Y373" i="5" a="1"/>
  <c r="Y373" i="5" s="1"/>
  <c r="X373" i="5" a="1"/>
  <c r="X373" i="5" s="1"/>
  <c r="W373" i="5" a="1"/>
  <c r="W373" i="5" s="1"/>
  <c r="V373" i="5" a="1"/>
  <c r="V373" i="5" s="1"/>
  <c r="U373" i="5" a="1"/>
  <c r="U373" i="5" s="1"/>
  <c r="T373" i="5" a="1"/>
  <c r="T373" i="5" s="1"/>
  <c r="R373" i="5"/>
  <c r="P373" i="5"/>
  <c r="H373" i="5"/>
  <c r="G373" i="5"/>
  <c r="AZ372" i="5" a="1"/>
  <c r="AZ372" i="5" s="1"/>
  <c r="AY372" i="5" a="1"/>
  <c r="AY372" i="5" s="1"/>
  <c r="AX372" i="5" a="1"/>
  <c r="AX372" i="5" s="1"/>
  <c r="AW372" i="5" a="1"/>
  <c r="AW372" i="5" s="1"/>
  <c r="AV372" i="5" a="1"/>
  <c r="AV372" i="5" s="1"/>
  <c r="AU372" i="5" a="1"/>
  <c r="AU372" i="5" s="1"/>
  <c r="AT372" i="5" a="1"/>
  <c r="AT372" i="5" s="1"/>
  <c r="AS372" i="5" a="1"/>
  <c r="AS372" i="5" s="1"/>
  <c r="AR372" i="5" a="1"/>
  <c r="AR372" i="5" s="1"/>
  <c r="AQ372" i="5" a="1"/>
  <c r="AQ372" i="5" s="1"/>
  <c r="AP372" i="5" a="1"/>
  <c r="AP372" i="5" s="1"/>
  <c r="AO372" i="5" a="1"/>
  <c r="AO372" i="5" s="1"/>
  <c r="AN372" i="5" a="1"/>
  <c r="AN372" i="5" s="1"/>
  <c r="AM372" i="5" a="1"/>
  <c r="AM372" i="5" s="1"/>
  <c r="AL372" i="5" a="1"/>
  <c r="AL372" i="5" s="1"/>
  <c r="AK372" i="5" a="1"/>
  <c r="AK372" i="5" s="1"/>
  <c r="AJ372" i="5" a="1"/>
  <c r="AJ372" i="5" s="1"/>
  <c r="AI372" i="5" a="1"/>
  <c r="AI372" i="5" s="1"/>
  <c r="AH372" i="5" a="1"/>
  <c r="AH372" i="5" s="1"/>
  <c r="AG372" i="5" a="1"/>
  <c r="AG372" i="5" s="1"/>
  <c r="AF372" i="5" a="1"/>
  <c r="AF372" i="5" s="1"/>
  <c r="AE372" i="5" a="1"/>
  <c r="AE372" i="5" s="1"/>
  <c r="AD372" i="5" a="1"/>
  <c r="AD372" i="5" s="1"/>
  <c r="AC372" i="5" a="1"/>
  <c r="AC372" i="5" s="1"/>
  <c r="AB372" i="5" a="1"/>
  <c r="AB372" i="5" s="1"/>
  <c r="AA372" i="5" a="1"/>
  <c r="AA372" i="5" s="1"/>
  <c r="Z372" i="5" a="1"/>
  <c r="Z372" i="5" s="1"/>
  <c r="Y372" i="5" a="1"/>
  <c r="Y372" i="5" s="1"/>
  <c r="X372" i="5" a="1"/>
  <c r="X372" i="5" s="1"/>
  <c r="W372" i="5" a="1"/>
  <c r="W372" i="5" s="1"/>
  <c r="V372" i="5" a="1"/>
  <c r="V372" i="5" s="1"/>
  <c r="U372" i="5" a="1"/>
  <c r="U372" i="5" s="1"/>
  <c r="T372" i="5" a="1"/>
  <c r="T372" i="5" s="1"/>
  <c r="R372" i="5"/>
  <c r="P372" i="5"/>
  <c r="H372" i="5"/>
  <c r="G372" i="5"/>
  <c r="E365" i="5"/>
  <c r="AZ364" i="5" a="1"/>
  <c r="AZ364" i="5" s="1"/>
  <c r="AY364" i="5" a="1"/>
  <c r="AY364" i="5" s="1"/>
  <c r="AX364" i="5" a="1"/>
  <c r="AX364" i="5" s="1"/>
  <c r="AW364" i="5" a="1"/>
  <c r="AW364" i="5" s="1"/>
  <c r="AV364" i="5" a="1"/>
  <c r="AV364" i="5" s="1"/>
  <c r="AU364" i="5" a="1"/>
  <c r="AU364" i="5" s="1"/>
  <c r="AT364" i="5" a="1"/>
  <c r="AT364" i="5" s="1"/>
  <c r="AS364" i="5" a="1"/>
  <c r="AS364" i="5" s="1"/>
  <c r="AR364" i="5" a="1"/>
  <c r="AR364" i="5" s="1"/>
  <c r="AQ364" i="5" a="1"/>
  <c r="AQ364" i="5" s="1"/>
  <c r="AP364" i="5" a="1"/>
  <c r="AP364" i="5" s="1"/>
  <c r="AO364" i="5" a="1"/>
  <c r="AO364" i="5" s="1"/>
  <c r="AN364" i="5" a="1"/>
  <c r="AN364" i="5" s="1"/>
  <c r="AM364" i="5" a="1"/>
  <c r="AM364" i="5" s="1"/>
  <c r="AL364" i="5" a="1"/>
  <c r="AL364" i="5" s="1"/>
  <c r="AK364" i="5" a="1"/>
  <c r="AK364" i="5" s="1"/>
  <c r="AJ364" i="5" a="1"/>
  <c r="AJ364" i="5" s="1"/>
  <c r="AI364" i="5" a="1"/>
  <c r="AI364" i="5" s="1"/>
  <c r="AH364" i="5" a="1"/>
  <c r="AH364" i="5" s="1"/>
  <c r="AG364" i="5" a="1"/>
  <c r="AG364" i="5" s="1"/>
  <c r="AF364" i="5" a="1"/>
  <c r="AF364" i="5" s="1"/>
  <c r="AE364" i="5" a="1"/>
  <c r="AE364" i="5" s="1"/>
  <c r="AD364" i="5" a="1"/>
  <c r="AD364" i="5" s="1"/>
  <c r="AC364" i="5" a="1"/>
  <c r="AC364" i="5" s="1"/>
  <c r="AB364" i="5" a="1"/>
  <c r="AB364" i="5" s="1"/>
  <c r="AA364" i="5" a="1"/>
  <c r="AA364" i="5" s="1"/>
  <c r="Z364" i="5" a="1"/>
  <c r="Z364" i="5" s="1"/>
  <c r="Y364" i="5" a="1"/>
  <c r="Y364" i="5" s="1"/>
  <c r="X364" i="5" a="1"/>
  <c r="X364" i="5" s="1"/>
  <c r="W364" i="5" a="1"/>
  <c r="W364" i="5" s="1"/>
  <c r="V364" i="5" a="1"/>
  <c r="V364" i="5" s="1"/>
  <c r="U364" i="5" a="1"/>
  <c r="U364" i="5" s="1"/>
  <c r="T364" i="5" a="1"/>
  <c r="T364" i="5" s="1"/>
  <c r="R364" i="5"/>
  <c r="P364" i="5"/>
  <c r="H364" i="5"/>
  <c r="G364" i="5"/>
  <c r="AZ363" i="5" a="1"/>
  <c r="AZ363" i="5" s="1"/>
  <c r="AY363" i="5" a="1"/>
  <c r="AY363" i="5" s="1"/>
  <c r="AX363" i="5" a="1"/>
  <c r="AX363" i="5" s="1"/>
  <c r="AW363" i="5" a="1"/>
  <c r="AW363" i="5" s="1"/>
  <c r="AV363" i="5" a="1"/>
  <c r="AV363" i="5" s="1"/>
  <c r="AU363" i="5" a="1"/>
  <c r="AU363" i="5" s="1"/>
  <c r="AT363" i="5" a="1"/>
  <c r="AT363" i="5" s="1"/>
  <c r="AS363" i="5" a="1"/>
  <c r="AS363" i="5" s="1"/>
  <c r="AR363" i="5" a="1"/>
  <c r="AR363" i="5" s="1"/>
  <c r="AQ363" i="5" a="1"/>
  <c r="AQ363" i="5" s="1"/>
  <c r="AP363" i="5" a="1"/>
  <c r="AP363" i="5" s="1"/>
  <c r="AO363" i="5" a="1"/>
  <c r="AO363" i="5" s="1"/>
  <c r="AN363" i="5" a="1"/>
  <c r="AN363" i="5" s="1"/>
  <c r="AM363" i="5" a="1"/>
  <c r="AM363" i="5" s="1"/>
  <c r="AL363" i="5" a="1"/>
  <c r="AL363" i="5" s="1"/>
  <c r="AK363" i="5" a="1"/>
  <c r="AK363" i="5" s="1"/>
  <c r="AJ363" i="5" a="1"/>
  <c r="AJ363" i="5" s="1"/>
  <c r="AI363" i="5" a="1"/>
  <c r="AI363" i="5" s="1"/>
  <c r="AH363" i="5" a="1"/>
  <c r="AH363" i="5" s="1"/>
  <c r="AG363" i="5" a="1"/>
  <c r="AG363" i="5" s="1"/>
  <c r="AF363" i="5" a="1"/>
  <c r="AF363" i="5" s="1"/>
  <c r="AE363" i="5" a="1"/>
  <c r="AE363" i="5" s="1"/>
  <c r="AD363" i="5" a="1"/>
  <c r="AD363" i="5" s="1"/>
  <c r="AC363" i="5" a="1"/>
  <c r="AC363" i="5" s="1"/>
  <c r="AB363" i="5" a="1"/>
  <c r="AB363" i="5" s="1"/>
  <c r="AA363" i="5" a="1"/>
  <c r="AA363" i="5" s="1"/>
  <c r="Z363" i="5" a="1"/>
  <c r="Z363" i="5" s="1"/>
  <c r="Y363" i="5" a="1"/>
  <c r="Y363" i="5" s="1"/>
  <c r="X363" i="5" a="1"/>
  <c r="X363" i="5" s="1"/>
  <c r="W363" i="5" a="1"/>
  <c r="W363" i="5" s="1"/>
  <c r="V363" i="5" a="1"/>
  <c r="V363" i="5" s="1"/>
  <c r="U363" i="5" a="1"/>
  <c r="U363" i="5" s="1"/>
  <c r="T363" i="5" a="1"/>
  <c r="T363" i="5" s="1"/>
  <c r="R363" i="5"/>
  <c r="P363" i="5"/>
  <c r="H363" i="5"/>
  <c r="G363" i="5"/>
  <c r="AZ362" i="5" a="1"/>
  <c r="AZ362" i="5" s="1"/>
  <c r="AY362" i="5" a="1"/>
  <c r="AY362" i="5" s="1"/>
  <c r="AX362" i="5" a="1"/>
  <c r="AX362" i="5" s="1"/>
  <c r="AW362" i="5" a="1"/>
  <c r="AW362" i="5" s="1"/>
  <c r="AV362" i="5" a="1"/>
  <c r="AV362" i="5" s="1"/>
  <c r="AU362" i="5" a="1"/>
  <c r="AU362" i="5" s="1"/>
  <c r="AT362" i="5" a="1"/>
  <c r="AT362" i="5" s="1"/>
  <c r="AS362" i="5" a="1"/>
  <c r="AS362" i="5" s="1"/>
  <c r="AR362" i="5" a="1"/>
  <c r="AR362" i="5" s="1"/>
  <c r="AQ362" i="5" a="1"/>
  <c r="AQ362" i="5" s="1"/>
  <c r="AP362" i="5" a="1"/>
  <c r="AP362" i="5" s="1"/>
  <c r="AO362" i="5" a="1"/>
  <c r="AO362" i="5" s="1"/>
  <c r="AN362" i="5" a="1"/>
  <c r="AN362" i="5" s="1"/>
  <c r="AM362" i="5" a="1"/>
  <c r="AM362" i="5" s="1"/>
  <c r="AL362" i="5" a="1"/>
  <c r="AL362" i="5" s="1"/>
  <c r="AK362" i="5" a="1"/>
  <c r="AK362" i="5" s="1"/>
  <c r="AJ362" i="5" a="1"/>
  <c r="AJ362" i="5" s="1"/>
  <c r="AI362" i="5" a="1"/>
  <c r="AI362" i="5" s="1"/>
  <c r="AH362" i="5" a="1"/>
  <c r="AH362" i="5" s="1"/>
  <c r="AG362" i="5" a="1"/>
  <c r="AG362" i="5" s="1"/>
  <c r="AF362" i="5" a="1"/>
  <c r="AF362" i="5" s="1"/>
  <c r="AE362" i="5" a="1"/>
  <c r="AE362" i="5" s="1"/>
  <c r="AD362" i="5" a="1"/>
  <c r="AD362" i="5" s="1"/>
  <c r="AC362" i="5" a="1"/>
  <c r="AC362" i="5" s="1"/>
  <c r="AB362" i="5" a="1"/>
  <c r="AB362" i="5" s="1"/>
  <c r="AA362" i="5" a="1"/>
  <c r="AA362" i="5" s="1"/>
  <c r="Z362" i="5" a="1"/>
  <c r="Z362" i="5" s="1"/>
  <c r="Y362" i="5" a="1"/>
  <c r="Y362" i="5" s="1"/>
  <c r="X362" i="5" a="1"/>
  <c r="X362" i="5" s="1"/>
  <c r="W362" i="5" a="1"/>
  <c r="W362" i="5" s="1"/>
  <c r="V362" i="5" a="1"/>
  <c r="V362" i="5" s="1"/>
  <c r="U362" i="5" a="1"/>
  <c r="U362" i="5" s="1"/>
  <c r="T362" i="5" a="1"/>
  <c r="T362" i="5" s="1"/>
  <c r="R362" i="5"/>
  <c r="P362" i="5"/>
  <c r="H362" i="5"/>
  <c r="G362" i="5"/>
  <c r="AZ361" i="5" a="1"/>
  <c r="AZ361" i="5" s="1"/>
  <c r="AS361" i="5" a="1"/>
  <c r="AS361" i="5" s="1"/>
  <c r="AR361" i="5" a="1"/>
  <c r="AR361" i="5" s="1"/>
  <c r="AJ361" i="5" a="1"/>
  <c r="AJ361" i="5" s="1"/>
  <c r="AC361" i="5" a="1"/>
  <c r="AC361" i="5" s="1"/>
  <c r="AB361" i="5" a="1"/>
  <c r="AB361" i="5" s="1"/>
  <c r="T361" i="5" a="1"/>
  <c r="T361" i="5" s="1"/>
  <c r="R361" i="5"/>
  <c r="P361" i="5"/>
  <c r="AQ361" i="5" s="1" a="1"/>
  <c r="AQ361" i="5" s="1"/>
  <c r="H361" i="5"/>
  <c r="G361" i="5"/>
  <c r="AZ360" i="5" a="1"/>
  <c r="AZ360" i="5" s="1"/>
  <c r="AY360" i="5" a="1"/>
  <c r="AY360" i="5" s="1"/>
  <c r="AX360" i="5" a="1"/>
  <c r="AX360" i="5" s="1"/>
  <c r="AW360" i="5" a="1"/>
  <c r="AW360" i="5" s="1"/>
  <c r="AV360" i="5" a="1"/>
  <c r="AV360" i="5" s="1"/>
  <c r="AU360" i="5" a="1"/>
  <c r="AU360" i="5" s="1"/>
  <c r="AT360" i="5" a="1"/>
  <c r="AT360" i="5" s="1"/>
  <c r="AS360" i="5" a="1"/>
  <c r="AS360" i="5" s="1"/>
  <c r="AR360" i="5" a="1"/>
  <c r="AR360" i="5" s="1"/>
  <c r="AQ360" i="5" a="1"/>
  <c r="AQ360" i="5" s="1"/>
  <c r="AP360" i="5" a="1"/>
  <c r="AP360" i="5" s="1"/>
  <c r="AO360" i="5" a="1"/>
  <c r="AO360" i="5" s="1"/>
  <c r="AN360" i="5" a="1"/>
  <c r="AN360" i="5" s="1"/>
  <c r="AM360" i="5" a="1"/>
  <c r="AM360" i="5" s="1"/>
  <c r="AL360" i="5" a="1"/>
  <c r="AL360" i="5" s="1"/>
  <c r="AK360" i="5" a="1"/>
  <c r="AK360" i="5" s="1"/>
  <c r="AJ360" i="5" a="1"/>
  <c r="AJ360" i="5" s="1"/>
  <c r="AI360" i="5" a="1"/>
  <c r="AI360" i="5" s="1"/>
  <c r="AH360" i="5" a="1"/>
  <c r="AH360" i="5" s="1"/>
  <c r="AG360" i="5" a="1"/>
  <c r="AG360" i="5" s="1"/>
  <c r="AF360" i="5" a="1"/>
  <c r="AF360" i="5" s="1"/>
  <c r="AE360" i="5" a="1"/>
  <c r="AE360" i="5" s="1"/>
  <c r="AD360" i="5" a="1"/>
  <c r="AD360" i="5" s="1"/>
  <c r="AC360" i="5" a="1"/>
  <c r="AC360" i="5" s="1"/>
  <c r="AB360" i="5" a="1"/>
  <c r="AB360" i="5" s="1"/>
  <c r="AA360" i="5" a="1"/>
  <c r="AA360" i="5" s="1"/>
  <c r="Z360" i="5" a="1"/>
  <c r="Z360" i="5" s="1"/>
  <c r="Y360" i="5" a="1"/>
  <c r="Y360" i="5" s="1"/>
  <c r="X360" i="5" a="1"/>
  <c r="X360" i="5" s="1"/>
  <c r="W360" i="5" a="1"/>
  <c r="W360" i="5" s="1"/>
  <c r="V360" i="5" a="1"/>
  <c r="V360" i="5" s="1"/>
  <c r="U360" i="5" a="1"/>
  <c r="U360" i="5" s="1"/>
  <c r="T360" i="5" a="1"/>
  <c r="T360" i="5" s="1"/>
  <c r="R360" i="5"/>
  <c r="P360" i="5"/>
  <c r="H360" i="5"/>
  <c r="G360" i="5"/>
  <c r="AZ359" i="5" a="1"/>
  <c r="AZ359" i="5" s="1"/>
  <c r="AY359" i="5" a="1"/>
  <c r="AY359" i="5" s="1"/>
  <c r="AX359" i="5" a="1"/>
  <c r="AX359" i="5" s="1"/>
  <c r="AW359" i="5" a="1"/>
  <c r="AW359" i="5" s="1"/>
  <c r="AV359" i="5" a="1"/>
  <c r="AV359" i="5" s="1"/>
  <c r="AU359" i="5" a="1"/>
  <c r="AU359" i="5" s="1"/>
  <c r="AT359" i="5" a="1"/>
  <c r="AT359" i="5" s="1"/>
  <c r="AS359" i="5" a="1"/>
  <c r="AS359" i="5" s="1"/>
  <c r="AR359" i="5" a="1"/>
  <c r="AR359" i="5" s="1"/>
  <c r="AQ359" i="5" a="1"/>
  <c r="AQ359" i="5" s="1"/>
  <c r="AP359" i="5" a="1"/>
  <c r="AP359" i="5" s="1"/>
  <c r="AO359" i="5" a="1"/>
  <c r="AO359" i="5" s="1"/>
  <c r="AN359" i="5" a="1"/>
  <c r="AN359" i="5" s="1"/>
  <c r="AM359" i="5" a="1"/>
  <c r="AM359" i="5" s="1"/>
  <c r="AL359" i="5" a="1"/>
  <c r="AL359" i="5" s="1"/>
  <c r="AK359" i="5" a="1"/>
  <c r="AK359" i="5" s="1"/>
  <c r="AJ359" i="5" a="1"/>
  <c r="AJ359" i="5" s="1"/>
  <c r="AI359" i="5" a="1"/>
  <c r="AI359" i="5" s="1"/>
  <c r="AH359" i="5" a="1"/>
  <c r="AH359" i="5" s="1"/>
  <c r="AG359" i="5" a="1"/>
  <c r="AG359" i="5" s="1"/>
  <c r="AF359" i="5" a="1"/>
  <c r="AF359" i="5" s="1"/>
  <c r="AE359" i="5" a="1"/>
  <c r="AE359" i="5" s="1"/>
  <c r="AD359" i="5" a="1"/>
  <c r="AD359" i="5" s="1"/>
  <c r="AC359" i="5" a="1"/>
  <c r="AC359" i="5" s="1"/>
  <c r="AB359" i="5" a="1"/>
  <c r="AB359" i="5" s="1"/>
  <c r="AA359" i="5" a="1"/>
  <c r="AA359" i="5" s="1"/>
  <c r="Z359" i="5" a="1"/>
  <c r="Z359" i="5" s="1"/>
  <c r="Y359" i="5" a="1"/>
  <c r="Y359" i="5" s="1"/>
  <c r="X359" i="5" a="1"/>
  <c r="X359" i="5" s="1"/>
  <c r="W359" i="5" a="1"/>
  <c r="W359" i="5" s="1"/>
  <c r="V359" i="5" a="1"/>
  <c r="V359" i="5" s="1"/>
  <c r="U359" i="5" a="1"/>
  <c r="U359" i="5" s="1"/>
  <c r="T359" i="5" a="1"/>
  <c r="T359" i="5" s="1"/>
  <c r="R359" i="5"/>
  <c r="P359" i="5"/>
  <c r="H359" i="5"/>
  <c r="G359" i="5"/>
  <c r="E352" i="5"/>
  <c r="AZ351" i="5" a="1"/>
  <c r="AZ351" i="5" s="1"/>
  <c r="AY351" i="5" a="1"/>
  <c r="AY351" i="5" s="1"/>
  <c r="AX351" i="5" a="1"/>
  <c r="AX351" i="5" s="1"/>
  <c r="AW351" i="5" a="1"/>
  <c r="AW351" i="5" s="1"/>
  <c r="AV351" i="5" a="1"/>
  <c r="AV351" i="5" s="1"/>
  <c r="AU351" i="5" a="1"/>
  <c r="AU351" i="5" s="1"/>
  <c r="AT351" i="5" a="1"/>
  <c r="AT351" i="5" s="1"/>
  <c r="AS351" i="5" a="1"/>
  <c r="AS351" i="5" s="1"/>
  <c r="AR351" i="5" a="1"/>
  <c r="AR351" i="5" s="1"/>
  <c r="AQ351" i="5" a="1"/>
  <c r="AQ351" i="5" s="1"/>
  <c r="AP351" i="5" a="1"/>
  <c r="AP351" i="5" s="1"/>
  <c r="AO351" i="5" a="1"/>
  <c r="AO351" i="5" s="1"/>
  <c r="AN351" i="5" a="1"/>
  <c r="AN351" i="5" s="1"/>
  <c r="AM351" i="5" a="1"/>
  <c r="AM351" i="5" s="1"/>
  <c r="AL351" i="5" a="1"/>
  <c r="AL351" i="5" s="1"/>
  <c r="AK351" i="5" a="1"/>
  <c r="AK351" i="5" s="1"/>
  <c r="AJ351" i="5" a="1"/>
  <c r="AJ351" i="5" s="1"/>
  <c r="AI351" i="5" a="1"/>
  <c r="AI351" i="5" s="1"/>
  <c r="AH351" i="5" a="1"/>
  <c r="AH351" i="5" s="1"/>
  <c r="AG351" i="5" a="1"/>
  <c r="AG351" i="5" s="1"/>
  <c r="AF351" i="5" a="1"/>
  <c r="AF351" i="5" s="1"/>
  <c r="AE351" i="5" a="1"/>
  <c r="AE351" i="5" s="1"/>
  <c r="AD351" i="5" a="1"/>
  <c r="AD351" i="5" s="1"/>
  <c r="AC351" i="5" a="1"/>
  <c r="AC351" i="5" s="1"/>
  <c r="AB351" i="5" a="1"/>
  <c r="AB351" i="5" s="1"/>
  <c r="AA351" i="5" a="1"/>
  <c r="AA351" i="5" s="1"/>
  <c r="Z351" i="5" a="1"/>
  <c r="Z351" i="5" s="1"/>
  <c r="Y351" i="5" a="1"/>
  <c r="Y351" i="5" s="1"/>
  <c r="X351" i="5" a="1"/>
  <c r="X351" i="5" s="1"/>
  <c r="W351" i="5" a="1"/>
  <c r="W351" i="5" s="1"/>
  <c r="V351" i="5" a="1"/>
  <c r="V351" i="5" s="1"/>
  <c r="U351" i="5" a="1"/>
  <c r="U351" i="5" s="1"/>
  <c r="T351" i="5" a="1"/>
  <c r="T351" i="5" s="1"/>
  <c r="R351" i="5"/>
  <c r="P351" i="5"/>
  <c r="H351" i="5"/>
  <c r="G351" i="5"/>
  <c r="AZ350" i="5" a="1"/>
  <c r="AZ350" i="5" s="1"/>
  <c r="AY350" i="5" a="1"/>
  <c r="AY350" i="5" s="1"/>
  <c r="AX350" i="5" a="1"/>
  <c r="AX350" i="5" s="1"/>
  <c r="AW350" i="5" a="1"/>
  <c r="AW350" i="5" s="1"/>
  <c r="AV350" i="5" a="1"/>
  <c r="AV350" i="5" s="1"/>
  <c r="AU350" i="5" a="1"/>
  <c r="AU350" i="5" s="1"/>
  <c r="AT350" i="5" a="1"/>
  <c r="AT350" i="5" s="1"/>
  <c r="AS350" i="5" a="1"/>
  <c r="AS350" i="5" s="1"/>
  <c r="AR350" i="5" a="1"/>
  <c r="AR350" i="5" s="1"/>
  <c r="AQ350" i="5" a="1"/>
  <c r="AQ350" i="5" s="1"/>
  <c r="AP350" i="5" a="1"/>
  <c r="AP350" i="5" s="1"/>
  <c r="AO350" i="5" a="1"/>
  <c r="AO350" i="5" s="1"/>
  <c r="AN350" i="5" a="1"/>
  <c r="AN350" i="5" s="1"/>
  <c r="AM350" i="5" a="1"/>
  <c r="AM350" i="5" s="1"/>
  <c r="AL350" i="5" a="1"/>
  <c r="AL350" i="5" s="1"/>
  <c r="AK350" i="5" a="1"/>
  <c r="AK350" i="5" s="1"/>
  <c r="AJ350" i="5" a="1"/>
  <c r="AJ350" i="5" s="1"/>
  <c r="AI350" i="5" a="1"/>
  <c r="AI350" i="5" s="1"/>
  <c r="AH350" i="5" a="1"/>
  <c r="AH350" i="5" s="1"/>
  <c r="AG350" i="5" a="1"/>
  <c r="AG350" i="5" s="1"/>
  <c r="AF350" i="5" a="1"/>
  <c r="AF350" i="5" s="1"/>
  <c r="AE350" i="5" a="1"/>
  <c r="AE350" i="5" s="1"/>
  <c r="AD350" i="5" a="1"/>
  <c r="AD350" i="5" s="1"/>
  <c r="AC350" i="5" a="1"/>
  <c r="AC350" i="5" s="1"/>
  <c r="AB350" i="5" a="1"/>
  <c r="AB350" i="5" s="1"/>
  <c r="AA350" i="5" a="1"/>
  <c r="AA350" i="5" s="1"/>
  <c r="Z350" i="5" a="1"/>
  <c r="Z350" i="5" s="1"/>
  <c r="Y350" i="5" a="1"/>
  <c r="Y350" i="5" s="1"/>
  <c r="X350" i="5" a="1"/>
  <c r="X350" i="5" s="1"/>
  <c r="W350" i="5" a="1"/>
  <c r="W350" i="5" s="1"/>
  <c r="V350" i="5" a="1"/>
  <c r="V350" i="5" s="1"/>
  <c r="U350" i="5" a="1"/>
  <c r="U350" i="5" s="1"/>
  <c r="T350" i="5" a="1"/>
  <c r="T350" i="5" s="1"/>
  <c r="R350" i="5"/>
  <c r="P350" i="5"/>
  <c r="H350" i="5"/>
  <c r="G350" i="5"/>
  <c r="AZ349" i="5" a="1"/>
  <c r="AZ349" i="5" s="1"/>
  <c r="AY349" i="5" a="1"/>
  <c r="AY349" i="5" s="1"/>
  <c r="AX349" i="5" a="1"/>
  <c r="AX349" i="5" s="1"/>
  <c r="AW349" i="5" a="1"/>
  <c r="AW349" i="5" s="1"/>
  <c r="AV349" i="5" a="1"/>
  <c r="AV349" i="5" s="1"/>
  <c r="AU349" i="5" a="1"/>
  <c r="AU349" i="5" s="1"/>
  <c r="AT349" i="5" a="1"/>
  <c r="AT349" i="5" s="1"/>
  <c r="AS349" i="5" a="1"/>
  <c r="AS349" i="5" s="1"/>
  <c r="AR349" i="5" a="1"/>
  <c r="AR349" i="5" s="1"/>
  <c r="AQ349" i="5" a="1"/>
  <c r="AQ349" i="5" s="1"/>
  <c r="AP349" i="5" a="1"/>
  <c r="AP349" i="5" s="1"/>
  <c r="AO349" i="5" a="1"/>
  <c r="AO349" i="5" s="1"/>
  <c r="AN349" i="5" a="1"/>
  <c r="AN349" i="5" s="1"/>
  <c r="AM349" i="5" a="1"/>
  <c r="AM349" i="5" s="1"/>
  <c r="AL349" i="5" a="1"/>
  <c r="AL349" i="5" s="1"/>
  <c r="AK349" i="5" a="1"/>
  <c r="AK349" i="5" s="1"/>
  <c r="AJ349" i="5" a="1"/>
  <c r="AJ349" i="5" s="1"/>
  <c r="AI349" i="5" a="1"/>
  <c r="AI349" i="5" s="1"/>
  <c r="AH349" i="5" a="1"/>
  <c r="AH349" i="5" s="1"/>
  <c r="AG349" i="5" a="1"/>
  <c r="AG349" i="5" s="1"/>
  <c r="AF349" i="5" a="1"/>
  <c r="AF349" i="5" s="1"/>
  <c r="AE349" i="5" a="1"/>
  <c r="AE349" i="5" s="1"/>
  <c r="AD349" i="5" a="1"/>
  <c r="AD349" i="5" s="1"/>
  <c r="AC349" i="5" a="1"/>
  <c r="AC349" i="5" s="1"/>
  <c r="AB349" i="5" a="1"/>
  <c r="AB349" i="5" s="1"/>
  <c r="AA349" i="5" a="1"/>
  <c r="AA349" i="5" s="1"/>
  <c r="Z349" i="5" a="1"/>
  <c r="Z349" i="5" s="1"/>
  <c r="Y349" i="5" a="1"/>
  <c r="Y349" i="5" s="1"/>
  <c r="X349" i="5" a="1"/>
  <c r="X349" i="5" s="1"/>
  <c r="W349" i="5" a="1"/>
  <c r="W349" i="5" s="1"/>
  <c r="V349" i="5" a="1"/>
  <c r="V349" i="5" s="1"/>
  <c r="U349" i="5" a="1"/>
  <c r="U349" i="5" s="1"/>
  <c r="T349" i="5" a="1"/>
  <c r="T349" i="5" s="1"/>
  <c r="R349" i="5"/>
  <c r="P349" i="5"/>
  <c r="H349" i="5"/>
  <c r="G349" i="5"/>
  <c r="AZ348" i="5" a="1"/>
  <c r="AZ348" i="5" s="1"/>
  <c r="AY348" i="5" a="1"/>
  <c r="AY348" i="5" s="1"/>
  <c r="AX348" i="5" a="1"/>
  <c r="AX348" i="5" s="1"/>
  <c r="AW348" i="5" a="1"/>
  <c r="AW348" i="5" s="1"/>
  <c r="AV348" i="5" a="1"/>
  <c r="AV348" i="5" s="1"/>
  <c r="AU348" i="5" a="1"/>
  <c r="AU348" i="5" s="1"/>
  <c r="AT348" i="5" a="1"/>
  <c r="AT348" i="5" s="1"/>
  <c r="AS348" i="5" a="1"/>
  <c r="AS348" i="5" s="1"/>
  <c r="AR348" i="5" a="1"/>
  <c r="AR348" i="5" s="1"/>
  <c r="AQ348" i="5" a="1"/>
  <c r="AQ348" i="5" s="1"/>
  <c r="AP348" i="5" a="1"/>
  <c r="AP348" i="5" s="1"/>
  <c r="AO348" i="5" a="1"/>
  <c r="AO348" i="5" s="1"/>
  <c r="AN348" i="5" a="1"/>
  <c r="AN348" i="5" s="1"/>
  <c r="AM348" i="5" a="1"/>
  <c r="AM348" i="5" s="1"/>
  <c r="AL348" i="5" a="1"/>
  <c r="AL348" i="5" s="1"/>
  <c r="AK348" i="5" a="1"/>
  <c r="AK348" i="5" s="1"/>
  <c r="AJ348" i="5" a="1"/>
  <c r="AJ348" i="5" s="1"/>
  <c r="AI348" i="5" a="1"/>
  <c r="AI348" i="5" s="1"/>
  <c r="AH348" i="5" a="1"/>
  <c r="AH348" i="5" s="1"/>
  <c r="AG348" i="5" a="1"/>
  <c r="AG348" i="5" s="1"/>
  <c r="AF348" i="5" a="1"/>
  <c r="AF348" i="5" s="1"/>
  <c r="AE348" i="5" a="1"/>
  <c r="AE348" i="5" s="1"/>
  <c r="AD348" i="5" a="1"/>
  <c r="AD348" i="5" s="1"/>
  <c r="AC348" i="5" a="1"/>
  <c r="AC348" i="5" s="1"/>
  <c r="AB348" i="5" a="1"/>
  <c r="AB348" i="5" s="1"/>
  <c r="AA348" i="5" a="1"/>
  <c r="AA348" i="5" s="1"/>
  <c r="Z348" i="5" a="1"/>
  <c r="Z348" i="5" s="1"/>
  <c r="Y348" i="5" a="1"/>
  <c r="Y348" i="5" s="1"/>
  <c r="X348" i="5" a="1"/>
  <c r="X348" i="5" s="1"/>
  <c r="W348" i="5" a="1"/>
  <c r="W348" i="5" s="1"/>
  <c r="V348" i="5" a="1"/>
  <c r="V348" i="5" s="1"/>
  <c r="U348" i="5" a="1"/>
  <c r="U348" i="5" s="1"/>
  <c r="T348" i="5" a="1"/>
  <c r="T348" i="5" s="1"/>
  <c r="R348" i="5"/>
  <c r="P348" i="5"/>
  <c r="H348" i="5"/>
  <c r="G348" i="5"/>
  <c r="AZ347" i="5" a="1"/>
  <c r="AZ347" i="5" s="1"/>
  <c r="AY347" i="5" a="1"/>
  <c r="AY347" i="5" s="1"/>
  <c r="AX347" i="5" a="1"/>
  <c r="AX347" i="5" s="1"/>
  <c r="AW347" i="5" a="1"/>
  <c r="AW347" i="5" s="1"/>
  <c r="AV347" i="5" a="1"/>
  <c r="AV347" i="5" s="1"/>
  <c r="AU347" i="5" a="1"/>
  <c r="AU347" i="5" s="1"/>
  <c r="AT347" i="5" a="1"/>
  <c r="AT347" i="5" s="1"/>
  <c r="AS347" i="5" a="1"/>
  <c r="AS347" i="5" s="1"/>
  <c r="AR347" i="5" a="1"/>
  <c r="AR347" i="5" s="1"/>
  <c r="AQ347" i="5" a="1"/>
  <c r="AQ347" i="5" s="1"/>
  <c r="AP347" i="5" a="1"/>
  <c r="AP347" i="5" s="1"/>
  <c r="AO347" i="5" a="1"/>
  <c r="AO347" i="5" s="1"/>
  <c r="AN347" i="5" a="1"/>
  <c r="AN347" i="5" s="1"/>
  <c r="AM347" i="5" a="1"/>
  <c r="AM347" i="5" s="1"/>
  <c r="AL347" i="5" a="1"/>
  <c r="AL347" i="5" s="1"/>
  <c r="AK347" i="5" a="1"/>
  <c r="AK347" i="5" s="1"/>
  <c r="AJ347" i="5" a="1"/>
  <c r="AJ347" i="5" s="1"/>
  <c r="AI347" i="5" a="1"/>
  <c r="AI347" i="5" s="1"/>
  <c r="AH347" i="5" a="1"/>
  <c r="AH347" i="5" s="1"/>
  <c r="AG347" i="5" a="1"/>
  <c r="AG347" i="5" s="1"/>
  <c r="AF347" i="5" a="1"/>
  <c r="AF347" i="5" s="1"/>
  <c r="AE347" i="5" a="1"/>
  <c r="AE347" i="5" s="1"/>
  <c r="AD347" i="5" a="1"/>
  <c r="AD347" i="5" s="1"/>
  <c r="AC347" i="5" a="1"/>
  <c r="AC347" i="5" s="1"/>
  <c r="AB347" i="5" a="1"/>
  <c r="AB347" i="5" s="1"/>
  <c r="AA347" i="5" a="1"/>
  <c r="AA347" i="5" s="1"/>
  <c r="Z347" i="5" a="1"/>
  <c r="Z347" i="5" s="1"/>
  <c r="Y347" i="5" a="1"/>
  <c r="Y347" i="5" s="1"/>
  <c r="X347" i="5" a="1"/>
  <c r="X347" i="5" s="1"/>
  <c r="W347" i="5" a="1"/>
  <c r="W347" i="5" s="1"/>
  <c r="V347" i="5" a="1"/>
  <c r="V347" i="5" s="1"/>
  <c r="U347" i="5" a="1"/>
  <c r="U347" i="5" s="1"/>
  <c r="T347" i="5" a="1"/>
  <c r="T347" i="5" s="1"/>
  <c r="R347" i="5"/>
  <c r="P347" i="5"/>
  <c r="H347" i="5"/>
  <c r="G347" i="5"/>
  <c r="AZ346" i="5" a="1"/>
  <c r="AZ346" i="5" s="1"/>
  <c r="AY346" i="5" a="1"/>
  <c r="AY346" i="5" s="1"/>
  <c r="AX346" i="5" a="1"/>
  <c r="AX346" i="5" s="1"/>
  <c r="AW346" i="5" a="1"/>
  <c r="AW346" i="5" s="1"/>
  <c r="AV346" i="5" a="1"/>
  <c r="AV346" i="5" s="1"/>
  <c r="AU346" i="5" a="1"/>
  <c r="AU346" i="5" s="1"/>
  <c r="AT346" i="5" a="1"/>
  <c r="AT346" i="5" s="1"/>
  <c r="AS346" i="5" a="1"/>
  <c r="AS346" i="5" s="1"/>
  <c r="AR346" i="5" a="1"/>
  <c r="AR346" i="5" s="1"/>
  <c r="AQ346" i="5" a="1"/>
  <c r="AQ346" i="5" s="1"/>
  <c r="AP346" i="5" a="1"/>
  <c r="AP346" i="5" s="1"/>
  <c r="AO346" i="5" a="1"/>
  <c r="AO346" i="5" s="1"/>
  <c r="AN346" i="5" a="1"/>
  <c r="AN346" i="5" s="1"/>
  <c r="AM346" i="5" a="1"/>
  <c r="AM346" i="5" s="1"/>
  <c r="AL346" i="5" a="1"/>
  <c r="AL346" i="5" s="1"/>
  <c r="AK346" i="5" a="1"/>
  <c r="AK346" i="5" s="1"/>
  <c r="AJ346" i="5" a="1"/>
  <c r="AJ346" i="5" s="1"/>
  <c r="AI346" i="5" a="1"/>
  <c r="AI346" i="5" s="1"/>
  <c r="AH346" i="5" a="1"/>
  <c r="AH346" i="5" s="1"/>
  <c r="AG346" i="5" a="1"/>
  <c r="AG346" i="5" s="1"/>
  <c r="AF346" i="5" a="1"/>
  <c r="AF346" i="5" s="1"/>
  <c r="AE346" i="5" a="1"/>
  <c r="AE346" i="5" s="1"/>
  <c r="AD346" i="5" a="1"/>
  <c r="AD346" i="5" s="1"/>
  <c r="AC346" i="5" a="1"/>
  <c r="AC346" i="5" s="1"/>
  <c r="AB346" i="5" a="1"/>
  <c r="AB346" i="5" s="1"/>
  <c r="AA346" i="5" a="1"/>
  <c r="AA346" i="5" s="1"/>
  <c r="Z346" i="5" a="1"/>
  <c r="Z346" i="5" s="1"/>
  <c r="Y346" i="5" a="1"/>
  <c r="Y346" i="5" s="1"/>
  <c r="X346" i="5" a="1"/>
  <c r="X346" i="5" s="1"/>
  <c r="W346" i="5" a="1"/>
  <c r="W346" i="5" s="1"/>
  <c r="V346" i="5" a="1"/>
  <c r="V346" i="5" s="1"/>
  <c r="U346" i="5" a="1"/>
  <c r="U346" i="5" s="1"/>
  <c r="T346" i="5" a="1"/>
  <c r="T346" i="5" s="1"/>
  <c r="R346" i="5"/>
  <c r="P346" i="5"/>
  <c r="H346" i="5"/>
  <c r="G346" i="5"/>
  <c r="C128" i="5"/>
  <c r="C127" i="5"/>
  <c r="C126" i="5"/>
  <c r="C125" i="5"/>
  <c r="C124" i="5"/>
  <c r="C123" i="5"/>
  <c r="C121" i="5"/>
  <c r="C122" i="5"/>
  <c r="B329" i="5"/>
  <c r="B316" i="5"/>
  <c r="B303" i="5"/>
  <c r="B290" i="5"/>
  <c r="B277" i="5"/>
  <c r="E339" i="5"/>
  <c r="AZ338" i="5" a="1"/>
  <c r="AZ338" i="5" s="1"/>
  <c r="AY338" i="5" a="1"/>
  <c r="AY338" i="5" s="1"/>
  <c r="AX338" i="5" a="1"/>
  <c r="AX338" i="5" s="1"/>
  <c r="AW338" i="5" a="1"/>
  <c r="AW338" i="5" s="1"/>
  <c r="AV338" i="5" a="1"/>
  <c r="AV338" i="5" s="1"/>
  <c r="AU338" i="5" a="1"/>
  <c r="AU338" i="5" s="1"/>
  <c r="AT338" i="5" a="1"/>
  <c r="AT338" i="5" s="1"/>
  <c r="AS338" i="5" a="1"/>
  <c r="AS338" i="5" s="1"/>
  <c r="AR338" i="5" a="1"/>
  <c r="AR338" i="5" s="1"/>
  <c r="AQ338" i="5" a="1"/>
  <c r="AQ338" i="5" s="1"/>
  <c r="AP338" i="5" a="1"/>
  <c r="AP338" i="5" s="1"/>
  <c r="AO338" i="5" a="1"/>
  <c r="AO338" i="5" s="1"/>
  <c r="AN338" i="5" a="1"/>
  <c r="AN338" i="5" s="1"/>
  <c r="AM338" i="5" a="1"/>
  <c r="AM338" i="5" s="1"/>
  <c r="AL338" i="5" a="1"/>
  <c r="AL338" i="5" s="1"/>
  <c r="AK338" i="5" a="1"/>
  <c r="AK338" i="5" s="1"/>
  <c r="AJ338" i="5" a="1"/>
  <c r="AJ338" i="5" s="1"/>
  <c r="AI338" i="5" a="1"/>
  <c r="AI338" i="5" s="1"/>
  <c r="AH338" i="5" a="1"/>
  <c r="AH338" i="5" s="1"/>
  <c r="AG338" i="5" a="1"/>
  <c r="AG338" i="5" s="1"/>
  <c r="AF338" i="5" a="1"/>
  <c r="AF338" i="5" s="1"/>
  <c r="AE338" i="5" a="1"/>
  <c r="AE338" i="5" s="1"/>
  <c r="AD338" i="5" a="1"/>
  <c r="AD338" i="5" s="1"/>
  <c r="AC338" i="5" a="1"/>
  <c r="AC338" i="5" s="1"/>
  <c r="AB338" i="5" a="1"/>
  <c r="AB338" i="5" s="1"/>
  <c r="AA338" i="5" a="1"/>
  <c r="AA338" i="5" s="1"/>
  <c r="Z338" i="5" a="1"/>
  <c r="Z338" i="5" s="1"/>
  <c r="Y338" i="5" a="1"/>
  <c r="Y338" i="5" s="1"/>
  <c r="X338" i="5" a="1"/>
  <c r="X338" i="5" s="1"/>
  <c r="W338" i="5" a="1"/>
  <c r="W338" i="5" s="1"/>
  <c r="V338" i="5" a="1"/>
  <c r="V338" i="5" s="1"/>
  <c r="U338" i="5" a="1"/>
  <c r="U338" i="5" s="1"/>
  <c r="T338" i="5" a="1"/>
  <c r="T338" i="5" s="1"/>
  <c r="R338" i="5"/>
  <c r="P338" i="5"/>
  <c r="H338" i="5"/>
  <c r="G338" i="5"/>
  <c r="AZ337" i="5" a="1"/>
  <c r="AZ337" i="5" s="1"/>
  <c r="AY337" i="5" a="1"/>
  <c r="AY337" i="5" s="1"/>
  <c r="AX337" i="5" a="1"/>
  <c r="AX337" i="5" s="1"/>
  <c r="AW337" i="5" a="1"/>
  <c r="AW337" i="5" s="1"/>
  <c r="AV337" i="5" a="1"/>
  <c r="AV337" i="5" s="1"/>
  <c r="AU337" i="5" a="1"/>
  <c r="AU337" i="5" s="1"/>
  <c r="AT337" i="5" a="1"/>
  <c r="AT337" i="5" s="1"/>
  <c r="AS337" i="5" a="1"/>
  <c r="AS337" i="5" s="1"/>
  <c r="AR337" i="5" a="1"/>
  <c r="AR337" i="5" s="1"/>
  <c r="AQ337" i="5" a="1"/>
  <c r="AQ337" i="5" s="1"/>
  <c r="AP337" i="5" a="1"/>
  <c r="AP337" i="5" s="1"/>
  <c r="AO337" i="5" a="1"/>
  <c r="AO337" i="5" s="1"/>
  <c r="AN337" i="5" a="1"/>
  <c r="AN337" i="5" s="1"/>
  <c r="AM337" i="5" a="1"/>
  <c r="AM337" i="5" s="1"/>
  <c r="AL337" i="5" a="1"/>
  <c r="AL337" i="5" s="1"/>
  <c r="AK337" i="5" a="1"/>
  <c r="AK337" i="5" s="1"/>
  <c r="AJ337" i="5" a="1"/>
  <c r="AJ337" i="5" s="1"/>
  <c r="AI337" i="5" a="1"/>
  <c r="AI337" i="5" s="1"/>
  <c r="AH337" i="5" a="1"/>
  <c r="AH337" i="5" s="1"/>
  <c r="AG337" i="5" a="1"/>
  <c r="AG337" i="5" s="1"/>
  <c r="AF337" i="5" a="1"/>
  <c r="AF337" i="5" s="1"/>
  <c r="AE337" i="5" a="1"/>
  <c r="AE337" i="5" s="1"/>
  <c r="AD337" i="5" a="1"/>
  <c r="AD337" i="5" s="1"/>
  <c r="AC337" i="5" a="1"/>
  <c r="AC337" i="5" s="1"/>
  <c r="AB337" i="5" a="1"/>
  <c r="AB337" i="5" s="1"/>
  <c r="AA337" i="5" a="1"/>
  <c r="AA337" i="5" s="1"/>
  <c r="Z337" i="5" a="1"/>
  <c r="Z337" i="5" s="1"/>
  <c r="Y337" i="5" a="1"/>
  <c r="Y337" i="5" s="1"/>
  <c r="X337" i="5" a="1"/>
  <c r="X337" i="5" s="1"/>
  <c r="W337" i="5" a="1"/>
  <c r="W337" i="5" s="1"/>
  <c r="V337" i="5" a="1"/>
  <c r="V337" i="5" s="1"/>
  <c r="U337" i="5" a="1"/>
  <c r="U337" i="5" s="1"/>
  <c r="T337" i="5" a="1"/>
  <c r="T337" i="5" s="1"/>
  <c r="R337" i="5"/>
  <c r="P337" i="5"/>
  <c r="H337" i="5"/>
  <c r="G337" i="5"/>
  <c r="AZ336" i="5" a="1"/>
  <c r="AZ336" i="5" s="1"/>
  <c r="AY336" i="5" a="1"/>
  <c r="AY336" i="5" s="1"/>
  <c r="AX336" i="5" a="1"/>
  <c r="AX336" i="5" s="1"/>
  <c r="AW336" i="5" a="1"/>
  <c r="AW336" i="5" s="1"/>
  <c r="AV336" i="5" a="1"/>
  <c r="AV336" i="5" s="1"/>
  <c r="AU336" i="5" a="1"/>
  <c r="AU336" i="5" s="1"/>
  <c r="AT336" i="5" a="1"/>
  <c r="AT336" i="5" s="1"/>
  <c r="AS336" i="5" a="1"/>
  <c r="AS336" i="5" s="1"/>
  <c r="AR336" i="5" a="1"/>
  <c r="AR336" i="5" s="1"/>
  <c r="AQ336" i="5" a="1"/>
  <c r="AQ336" i="5" s="1"/>
  <c r="AP336" i="5" a="1"/>
  <c r="AP336" i="5" s="1"/>
  <c r="AO336" i="5" a="1"/>
  <c r="AO336" i="5" s="1"/>
  <c r="AN336" i="5" a="1"/>
  <c r="AN336" i="5" s="1"/>
  <c r="AM336" i="5" a="1"/>
  <c r="AM336" i="5" s="1"/>
  <c r="AL336" i="5" a="1"/>
  <c r="AL336" i="5" s="1"/>
  <c r="AK336" i="5" a="1"/>
  <c r="AK336" i="5" s="1"/>
  <c r="AJ336" i="5" a="1"/>
  <c r="AJ336" i="5" s="1"/>
  <c r="AI336" i="5" a="1"/>
  <c r="AI336" i="5" s="1"/>
  <c r="AH336" i="5" a="1"/>
  <c r="AH336" i="5" s="1"/>
  <c r="AG336" i="5" a="1"/>
  <c r="AG336" i="5" s="1"/>
  <c r="AF336" i="5" a="1"/>
  <c r="AF336" i="5" s="1"/>
  <c r="AE336" i="5" a="1"/>
  <c r="AE336" i="5" s="1"/>
  <c r="AD336" i="5" a="1"/>
  <c r="AD336" i="5" s="1"/>
  <c r="AC336" i="5" a="1"/>
  <c r="AC336" i="5" s="1"/>
  <c r="AB336" i="5" a="1"/>
  <c r="AB336" i="5" s="1"/>
  <c r="AA336" i="5" a="1"/>
  <c r="AA336" i="5" s="1"/>
  <c r="Z336" i="5" a="1"/>
  <c r="Z336" i="5" s="1"/>
  <c r="Y336" i="5" a="1"/>
  <c r="Y336" i="5" s="1"/>
  <c r="X336" i="5" a="1"/>
  <c r="X336" i="5" s="1"/>
  <c r="W336" i="5" a="1"/>
  <c r="W336" i="5" s="1"/>
  <c r="V336" i="5" a="1"/>
  <c r="V336" i="5" s="1"/>
  <c r="U336" i="5" a="1"/>
  <c r="U336" i="5" s="1"/>
  <c r="T336" i="5" a="1"/>
  <c r="T336" i="5" s="1"/>
  <c r="R336" i="5"/>
  <c r="P336" i="5"/>
  <c r="H336" i="5"/>
  <c r="G336" i="5"/>
  <c r="AZ335" i="5" a="1"/>
  <c r="AZ335" i="5" s="1"/>
  <c r="AY335" i="5" a="1"/>
  <c r="AY335" i="5" s="1"/>
  <c r="AX335" i="5" a="1"/>
  <c r="AX335" i="5" s="1"/>
  <c r="AW335" i="5" a="1"/>
  <c r="AW335" i="5" s="1"/>
  <c r="AV335" i="5" a="1"/>
  <c r="AV335" i="5" s="1"/>
  <c r="AU335" i="5" a="1"/>
  <c r="AU335" i="5" s="1"/>
  <c r="AT335" i="5" a="1"/>
  <c r="AT335" i="5" s="1"/>
  <c r="AS335" i="5" a="1"/>
  <c r="AS335" i="5" s="1"/>
  <c r="AR335" i="5" a="1"/>
  <c r="AR335" i="5" s="1"/>
  <c r="AQ335" i="5" a="1"/>
  <c r="AQ335" i="5" s="1"/>
  <c r="AP335" i="5" a="1"/>
  <c r="AP335" i="5" s="1"/>
  <c r="AO335" i="5" a="1"/>
  <c r="AO335" i="5" s="1"/>
  <c r="AN335" i="5" a="1"/>
  <c r="AN335" i="5" s="1"/>
  <c r="AM335" i="5" a="1"/>
  <c r="AM335" i="5" s="1"/>
  <c r="AL335" i="5" a="1"/>
  <c r="AL335" i="5" s="1"/>
  <c r="AK335" i="5" a="1"/>
  <c r="AK335" i="5" s="1"/>
  <c r="AJ335" i="5" a="1"/>
  <c r="AJ335" i="5" s="1"/>
  <c r="AI335" i="5" a="1"/>
  <c r="AI335" i="5" s="1"/>
  <c r="AH335" i="5" a="1"/>
  <c r="AH335" i="5" s="1"/>
  <c r="AG335" i="5" a="1"/>
  <c r="AG335" i="5" s="1"/>
  <c r="AF335" i="5" a="1"/>
  <c r="AF335" i="5" s="1"/>
  <c r="AE335" i="5" a="1"/>
  <c r="AE335" i="5" s="1"/>
  <c r="AD335" i="5" a="1"/>
  <c r="AD335" i="5" s="1"/>
  <c r="AC335" i="5" a="1"/>
  <c r="AC335" i="5" s="1"/>
  <c r="AB335" i="5" a="1"/>
  <c r="AB335" i="5" s="1"/>
  <c r="AA335" i="5" a="1"/>
  <c r="AA335" i="5" s="1"/>
  <c r="Z335" i="5" a="1"/>
  <c r="Z335" i="5" s="1"/>
  <c r="Y335" i="5" a="1"/>
  <c r="Y335" i="5" s="1"/>
  <c r="X335" i="5" a="1"/>
  <c r="X335" i="5" s="1"/>
  <c r="W335" i="5" a="1"/>
  <c r="W335" i="5" s="1"/>
  <c r="V335" i="5" a="1"/>
  <c r="V335" i="5" s="1"/>
  <c r="U335" i="5" a="1"/>
  <c r="U335" i="5" s="1"/>
  <c r="T335" i="5" a="1"/>
  <c r="T335" i="5" s="1"/>
  <c r="R335" i="5"/>
  <c r="P335" i="5"/>
  <c r="H335" i="5"/>
  <c r="G335" i="5"/>
  <c r="AZ334" i="5" a="1"/>
  <c r="AZ334" i="5" s="1"/>
  <c r="AY334" i="5" a="1"/>
  <c r="AY334" i="5" s="1"/>
  <c r="AX334" i="5" a="1"/>
  <c r="AX334" i="5" s="1"/>
  <c r="AW334" i="5" a="1"/>
  <c r="AW334" i="5" s="1"/>
  <c r="AV334" i="5" a="1"/>
  <c r="AV334" i="5" s="1"/>
  <c r="AU334" i="5" a="1"/>
  <c r="AU334" i="5" s="1"/>
  <c r="AT334" i="5" a="1"/>
  <c r="AT334" i="5" s="1"/>
  <c r="AS334" i="5" a="1"/>
  <c r="AS334" i="5" s="1"/>
  <c r="AR334" i="5" a="1"/>
  <c r="AR334" i="5" s="1"/>
  <c r="AQ334" i="5" a="1"/>
  <c r="AQ334" i="5" s="1"/>
  <c r="AP334" i="5" a="1"/>
  <c r="AP334" i="5" s="1"/>
  <c r="AO334" i="5" a="1"/>
  <c r="AO334" i="5" s="1"/>
  <c r="AN334" i="5" a="1"/>
  <c r="AN334" i="5" s="1"/>
  <c r="AM334" i="5" a="1"/>
  <c r="AM334" i="5" s="1"/>
  <c r="AL334" i="5" a="1"/>
  <c r="AL334" i="5" s="1"/>
  <c r="AK334" i="5" a="1"/>
  <c r="AK334" i="5" s="1"/>
  <c r="AJ334" i="5" a="1"/>
  <c r="AJ334" i="5" s="1"/>
  <c r="AI334" i="5" a="1"/>
  <c r="AI334" i="5" s="1"/>
  <c r="AH334" i="5" a="1"/>
  <c r="AH334" i="5" s="1"/>
  <c r="AG334" i="5" a="1"/>
  <c r="AG334" i="5" s="1"/>
  <c r="AF334" i="5" a="1"/>
  <c r="AF334" i="5" s="1"/>
  <c r="AE334" i="5" a="1"/>
  <c r="AE334" i="5" s="1"/>
  <c r="AD334" i="5" a="1"/>
  <c r="AD334" i="5" s="1"/>
  <c r="AC334" i="5" a="1"/>
  <c r="AC334" i="5" s="1"/>
  <c r="AB334" i="5" a="1"/>
  <c r="AB334" i="5" s="1"/>
  <c r="AA334" i="5" a="1"/>
  <c r="AA334" i="5" s="1"/>
  <c r="Z334" i="5" a="1"/>
  <c r="Z334" i="5" s="1"/>
  <c r="Y334" i="5" a="1"/>
  <c r="Y334" i="5" s="1"/>
  <c r="X334" i="5" a="1"/>
  <c r="X334" i="5" s="1"/>
  <c r="W334" i="5" a="1"/>
  <c r="W334" i="5" s="1"/>
  <c r="V334" i="5" a="1"/>
  <c r="V334" i="5" s="1"/>
  <c r="U334" i="5" a="1"/>
  <c r="U334" i="5" s="1"/>
  <c r="T334" i="5" a="1"/>
  <c r="T334" i="5" s="1"/>
  <c r="R334" i="5"/>
  <c r="P334" i="5"/>
  <c r="H334" i="5"/>
  <c r="G334" i="5"/>
  <c r="R333" i="5"/>
  <c r="P333" i="5"/>
  <c r="AW333" i="5" s="1" a="1"/>
  <c r="AW333" i="5" s="1"/>
  <c r="H333" i="5"/>
  <c r="G333" i="5"/>
  <c r="E326" i="5"/>
  <c r="AZ325" i="5" a="1"/>
  <c r="AZ325" i="5" s="1"/>
  <c r="AY325" i="5" a="1"/>
  <c r="AY325" i="5" s="1"/>
  <c r="AX325" i="5" a="1"/>
  <c r="AX325" i="5" s="1"/>
  <c r="AW325" i="5" a="1"/>
  <c r="AW325" i="5" s="1"/>
  <c r="AV325" i="5" a="1"/>
  <c r="AV325" i="5" s="1"/>
  <c r="AU325" i="5" a="1"/>
  <c r="AU325" i="5" s="1"/>
  <c r="AT325" i="5" a="1"/>
  <c r="AT325" i="5" s="1"/>
  <c r="AS325" i="5" a="1"/>
  <c r="AS325" i="5" s="1"/>
  <c r="AR325" i="5" a="1"/>
  <c r="AR325" i="5" s="1"/>
  <c r="AQ325" i="5" a="1"/>
  <c r="AQ325" i="5" s="1"/>
  <c r="AP325" i="5" a="1"/>
  <c r="AP325" i="5" s="1"/>
  <c r="AO325" i="5" a="1"/>
  <c r="AO325" i="5" s="1"/>
  <c r="AN325" i="5" a="1"/>
  <c r="AN325" i="5" s="1"/>
  <c r="AM325" i="5" a="1"/>
  <c r="AM325" i="5" s="1"/>
  <c r="AL325" i="5" a="1"/>
  <c r="AL325" i="5" s="1"/>
  <c r="AK325" i="5" a="1"/>
  <c r="AK325" i="5" s="1"/>
  <c r="AJ325" i="5" a="1"/>
  <c r="AJ325" i="5" s="1"/>
  <c r="AI325" i="5" a="1"/>
  <c r="AI325" i="5" s="1"/>
  <c r="AH325" i="5" a="1"/>
  <c r="AH325" i="5" s="1"/>
  <c r="AG325" i="5" a="1"/>
  <c r="AG325" i="5" s="1"/>
  <c r="AF325" i="5" a="1"/>
  <c r="AF325" i="5" s="1"/>
  <c r="AE325" i="5" a="1"/>
  <c r="AE325" i="5" s="1"/>
  <c r="AD325" i="5" a="1"/>
  <c r="AD325" i="5" s="1"/>
  <c r="AC325" i="5" a="1"/>
  <c r="AC325" i="5" s="1"/>
  <c r="AB325" i="5" a="1"/>
  <c r="AB325" i="5" s="1"/>
  <c r="AA325" i="5" a="1"/>
  <c r="AA325" i="5" s="1"/>
  <c r="Z325" i="5" a="1"/>
  <c r="Z325" i="5" s="1"/>
  <c r="Y325" i="5" a="1"/>
  <c r="Y325" i="5" s="1"/>
  <c r="X325" i="5" a="1"/>
  <c r="X325" i="5" s="1"/>
  <c r="W325" i="5" a="1"/>
  <c r="W325" i="5" s="1"/>
  <c r="V325" i="5" a="1"/>
  <c r="V325" i="5" s="1"/>
  <c r="U325" i="5" a="1"/>
  <c r="U325" i="5" s="1"/>
  <c r="T325" i="5" a="1"/>
  <c r="T325" i="5" s="1"/>
  <c r="R325" i="5"/>
  <c r="P325" i="5"/>
  <c r="H325" i="5"/>
  <c r="G325" i="5"/>
  <c r="AZ324" i="5" a="1"/>
  <c r="AZ324" i="5" s="1"/>
  <c r="AY324" i="5" a="1"/>
  <c r="AY324" i="5" s="1"/>
  <c r="AX324" i="5" a="1"/>
  <c r="AX324" i="5" s="1"/>
  <c r="AW324" i="5" a="1"/>
  <c r="AW324" i="5" s="1"/>
  <c r="AV324" i="5" a="1"/>
  <c r="AV324" i="5" s="1"/>
  <c r="AU324" i="5" a="1"/>
  <c r="AU324" i="5" s="1"/>
  <c r="AT324" i="5" a="1"/>
  <c r="AT324" i="5" s="1"/>
  <c r="AS324" i="5" a="1"/>
  <c r="AS324" i="5" s="1"/>
  <c r="AR324" i="5" a="1"/>
  <c r="AR324" i="5" s="1"/>
  <c r="AQ324" i="5" a="1"/>
  <c r="AQ324" i="5" s="1"/>
  <c r="AP324" i="5" a="1"/>
  <c r="AP324" i="5" s="1"/>
  <c r="AO324" i="5" a="1"/>
  <c r="AO324" i="5" s="1"/>
  <c r="AN324" i="5" a="1"/>
  <c r="AN324" i="5" s="1"/>
  <c r="AM324" i="5" a="1"/>
  <c r="AM324" i="5" s="1"/>
  <c r="AL324" i="5" a="1"/>
  <c r="AL324" i="5" s="1"/>
  <c r="AK324" i="5" a="1"/>
  <c r="AK324" i="5" s="1"/>
  <c r="AJ324" i="5" a="1"/>
  <c r="AJ324" i="5" s="1"/>
  <c r="AI324" i="5" a="1"/>
  <c r="AI324" i="5" s="1"/>
  <c r="AH324" i="5" a="1"/>
  <c r="AH324" i="5" s="1"/>
  <c r="AG324" i="5" a="1"/>
  <c r="AG324" i="5" s="1"/>
  <c r="AF324" i="5" a="1"/>
  <c r="AF324" i="5" s="1"/>
  <c r="AE324" i="5" a="1"/>
  <c r="AE324" i="5" s="1"/>
  <c r="AD324" i="5" a="1"/>
  <c r="AD324" i="5" s="1"/>
  <c r="AC324" i="5" a="1"/>
  <c r="AC324" i="5" s="1"/>
  <c r="AB324" i="5" a="1"/>
  <c r="AB324" i="5" s="1"/>
  <c r="AA324" i="5" a="1"/>
  <c r="AA324" i="5" s="1"/>
  <c r="Z324" i="5" a="1"/>
  <c r="Z324" i="5" s="1"/>
  <c r="Y324" i="5" a="1"/>
  <c r="Y324" i="5" s="1"/>
  <c r="X324" i="5" a="1"/>
  <c r="X324" i="5" s="1"/>
  <c r="W324" i="5" a="1"/>
  <c r="W324" i="5" s="1"/>
  <c r="V324" i="5" a="1"/>
  <c r="V324" i="5" s="1"/>
  <c r="U324" i="5" a="1"/>
  <c r="U324" i="5" s="1"/>
  <c r="T324" i="5" a="1"/>
  <c r="T324" i="5" s="1"/>
  <c r="R324" i="5"/>
  <c r="P324" i="5"/>
  <c r="H324" i="5"/>
  <c r="G324" i="5"/>
  <c r="AZ323" i="5" a="1"/>
  <c r="AZ323" i="5" s="1"/>
  <c r="AY323" i="5" a="1"/>
  <c r="AY323" i="5" s="1"/>
  <c r="AX323" i="5" a="1"/>
  <c r="AX323" i="5" s="1"/>
  <c r="AW323" i="5" a="1"/>
  <c r="AW323" i="5" s="1"/>
  <c r="AV323" i="5" a="1"/>
  <c r="AV323" i="5" s="1"/>
  <c r="AU323" i="5" a="1"/>
  <c r="AU323" i="5" s="1"/>
  <c r="AT323" i="5" a="1"/>
  <c r="AT323" i="5" s="1"/>
  <c r="AS323" i="5" a="1"/>
  <c r="AS323" i="5" s="1"/>
  <c r="AR323" i="5" a="1"/>
  <c r="AR323" i="5" s="1"/>
  <c r="AQ323" i="5" a="1"/>
  <c r="AQ323" i="5" s="1"/>
  <c r="AP323" i="5" a="1"/>
  <c r="AP323" i="5" s="1"/>
  <c r="AO323" i="5" a="1"/>
  <c r="AO323" i="5" s="1"/>
  <c r="AN323" i="5" a="1"/>
  <c r="AN323" i="5" s="1"/>
  <c r="AM323" i="5" a="1"/>
  <c r="AM323" i="5" s="1"/>
  <c r="AL323" i="5" a="1"/>
  <c r="AL323" i="5" s="1"/>
  <c r="AK323" i="5" a="1"/>
  <c r="AK323" i="5" s="1"/>
  <c r="AJ323" i="5" a="1"/>
  <c r="AJ323" i="5" s="1"/>
  <c r="AI323" i="5" a="1"/>
  <c r="AI323" i="5" s="1"/>
  <c r="AH323" i="5" a="1"/>
  <c r="AH323" i="5" s="1"/>
  <c r="AG323" i="5" a="1"/>
  <c r="AG323" i="5" s="1"/>
  <c r="AF323" i="5" a="1"/>
  <c r="AF323" i="5" s="1"/>
  <c r="AE323" i="5" a="1"/>
  <c r="AE323" i="5" s="1"/>
  <c r="AD323" i="5" a="1"/>
  <c r="AD323" i="5" s="1"/>
  <c r="AC323" i="5" a="1"/>
  <c r="AC323" i="5" s="1"/>
  <c r="AB323" i="5" a="1"/>
  <c r="AB323" i="5" s="1"/>
  <c r="AA323" i="5" a="1"/>
  <c r="AA323" i="5" s="1"/>
  <c r="Z323" i="5" a="1"/>
  <c r="Z323" i="5" s="1"/>
  <c r="Y323" i="5" a="1"/>
  <c r="Y323" i="5" s="1"/>
  <c r="X323" i="5" a="1"/>
  <c r="X323" i="5" s="1"/>
  <c r="W323" i="5" a="1"/>
  <c r="W323" i="5" s="1"/>
  <c r="V323" i="5" a="1"/>
  <c r="V323" i="5" s="1"/>
  <c r="U323" i="5" a="1"/>
  <c r="U323" i="5" s="1"/>
  <c r="T323" i="5" a="1"/>
  <c r="T323" i="5" s="1"/>
  <c r="R323" i="5"/>
  <c r="P323" i="5"/>
  <c r="H323" i="5"/>
  <c r="G323" i="5"/>
  <c r="AZ322" i="5" a="1"/>
  <c r="AZ322" i="5" s="1"/>
  <c r="AY322" i="5" a="1"/>
  <c r="AY322" i="5" s="1"/>
  <c r="AX322" i="5" a="1"/>
  <c r="AX322" i="5" s="1"/>
  <c r="AW322" i="5" a="1"/>
  <c r="AW322" i="5" s="1"/>
  <c r="AV322" i="5" a="1"/>
  <c r="AV322" i="5" s="1"/>
  <c r="AU322" i="5" a="1"/>
  <c r="AU322" i="5" s="1"/>
  <c r="AT322" i="5" a="1"/>
  <c r="AT322" i="5" s="1"/>
  <c r="AS322" i="5" a="1"/>
  <c r="AS322" i="5" s="1"/>
  <c r="AR322" i="5" a="1"/>
  <c r="AR322" i="5" s="1"/>
  <c r="AQ322" i="5" a="1"/>
  <c r="AQ322" i="5" s="1"/>
  <c r="AP322" i="5" a="1"/>
  <c r="AP322" i="5" s="1"/>
  <c r="AO322" i="5" a="1"/>
  <c r="AO322" i="5" s="1"/>
  <c r="AN322" i="5" a="1"/>
  <c r="AN322" i="5" s="1"/>
  <c r="AM322" i="5" a="1"/>
  <c r="AM322" i="5" s="1"/>
  <c r="AL322" i="5" a="1"/>
  <c r="AL322" i="5" s="1"/>
  <c r="AK322" i="5" a="1"/>
  <c r="AK322" i="5" s="1"/>
  <c r="AJ322" i="5" a="1"/>
  <c r="AJ322" i="5" s="1"/>
  <c r="AI322" i="5" a="1"/>
  <c r="AI322" i="5" s="1"/>
  <c r="AH322" i="5" a="1"/>
  <c r="AH322" i="5" s="1"/>
  <c r="AG322" i="5" a="1"/>
  <c r="AG322" i="5" s="1"/>
  <c r="AF322" i="5" a="1"/>
  <c r="AF322" i="5" s="1"/>
  <c r="AE322" i="5" a="1"/>
  <c r="AE322" i="5" s="1"/>
  <c r="AD322" i="5" a="1"/>
  <c r="AD322" i="5" s="1"/>
  <c r="AC322" i="5" a="1"/>
  <c r="AC322" i="5" s="1"/>
  <c r="AB322" i="5" a="1"/>
  <c r="AB322" i="5" s="1"/>
  <c r="AA322" i="5" a="1"/>
  <c r="AA322" i="5" s="1"/>
  <c r="Z322" i="5" a="1"/>
  <c r="Z322" i="5" s="1"/>
  <c r="Y322" i="5" a="1"/>
  <c r="Y322" i="5" s="1"/>
  <c r="X322" i="5" a="1"/>
  <c r="X322" i="5" s="1"/>
  <c r="W322" i="5" a="1"/>
  <c r="W322" i="5" s="1"/>
  <c r="V322" i="5" a="1"/>
  <c r="V322" i="5" s="1"/>
  <c r="U322" i="5" a="1"/>
  <c r="U322" i="5" s="1"/>
  <c r="T322" i="5" a="1"/>
  <c r="T322" i="5" s="1"/>
  <c r="R322" i="5"/>
  <c r="P322" i="5"/>
  <c r="H322" i="5"/>
  <c r="G322" i="5"/>
  <c r="AZ321" i="5" a="1"/>
  <c r="AZ321" i="5" s="1"/>
  <c r="AY321" i="5" a="1"/>
  <c r="AY321" i="5" s="1"/>
  <c r="AX321" i="5" a="1"/>
  <c r="AX321" i="5" s="1"/>
  <c r="AW321" i="5" a="1"/>
  <c r="AW321" i="5" s="1"/>
  <c r="AV321" i="5" a="1"/>
  <c r="AV321" i="5" s="1"/>
  <c r="AU321" i="5" a="1"/>
  <c r="AU321" i="5" s="1"/>
  <c r="AT321" i="5" a="1"/>
  <c r="AT321" i="5" s="1"/>
  <c r="AS321" i="5" a="1"/>
  <c r="AS321" i="5" s="1"/>
  <c r="AR321" i="5" a="1"/>
  <c r="AR321" i="5" s="1"/>
  <c r="AQ321" i="5" a="1"/>
  <c r="AQ321" i="5" s="1"/>
  <c r="AP321" i="5" a="1"/>
  <c r="AP321" i="5" s="1"/>
  <c r="AO321" i="5" a="1"/>
  <c r="AO321" i="5" s="1"/>
  <c r="AN321" i="5" a="1"/>
  <c r="AN321" i="5" s="1"/>
  <c r="AM321" i="5" a="1"/>
  <c r="AM321" i="5" s="1"/>
  <c r="AL321" i="5" a="1"/>
  <c r="AL321" i="5" s="1"/>
  <c r="AK321" i="5" a="1"/>
  <c r="AK321" i="5" s="1"/>
  <c r="AJ321" i="5" a="1"/>
  <c r="AJ321" i="5" s="1"/>
  <c r="AI321" i="5" a="1"/>
  <c r="AI321" i="5" s="1"/>
  <c r="AH321" i="5" a="1"/>
  <c r="AH321" i="5" s="1"/>
  <c r="AG321" i="5" a="1"/>
  <c r="AG321" i="5" s="1"/>
  <c r="AF321" i="5" a="1"/>
  <c r="AF321" i="5" s="1"/>
  <c r="AE321" i="5" a="1"/>
  <c r="AE321" i="5" s="1"/>
  <c r="AD321" i="5" a="1"/>
  <c r="AD321" i="5" s="1"/>
  <c r="AC321" i="5" a="1"/>
  <c r="AC321" i="5" s="1"/>
  <c r="AB321" i="5" a="1"/>
  <c r="AB321" i="5" s="1"/>
  <c r="AA321" i="5" a="1"/>
  <c r="AA321" i="5" s="1"/>
  <c r="Z321" i="5" a="1"/>
  <c r="Z321" i="5" s="1"/>
  <c r="Y321" i="5" a="1"/>
  <c r="Y321" i="5" s="1"/>
  <c r="X321" i="5" a="1"/>
  <c r="X321" i="5" s="1"/>
  <c r="W321" i="5" a="1"/>
  <c r="W321" i="5" s="1"/>
  <c r="V321" i="5" a="1"/>
  <c r="V321" i="5" s="1"/>
  <c r="U321" i="5" a="1"/>
  <c r="U321" i="5" s="1"/>
  <c r="T321" i="5" a="1"/>
  <c r="T321" i="5" s="1"/>
  <c r="R321" i="5"/>
  <c r="P321" i="5"/>
  <c r="H321" i="5"/>
  <c r="G321" i="5"/>
  <c r="AY320" i="5" a="1"/>
  <c r="AY320" i="5" s="1"/>
  <c r="AU320" i="5" a="1"/>
  <c r="AU320" i="5" s="1"/>
  <c r="AT320" i="5" a="1"/>
  <c r="AT320" i="5" s="1"/>
  <c r="AQ320" i="5" a="1"/>
  <c r="AQ320" i="5" s="1"/>
  <c r="AM320" i="5" a="1"/>
  <c r="AM320" i="5" s="1"/>
  <c r="AL320" i="5" a="1"/>
  <c r="AL320" i="5" s="1"/>
  <c r="AI320" i="5" a="1"/>
  <c r="AI320" i="5" s="1"/>
  <c r="AE320" i="5" a="1"/>
  <c r="AE320" i="5" s="1"/>
  <c r="AD320" i="5" a="1"/>
  <c r="AD320" i="5" s="1"/>
  <c r="AA320" i="5" a="1"/>
  <c r="AA320" i="5" s="1"/>
  <c r="W320" i="5" a="1"/>
  <c r="W320" i="5" s="1"/>
  <c r="V320" i="5" a="1"/>
  <c r="V320" i="5" s="1"/>
  <c r="R320" i="5"/>
  <c r="P320" i="5"/>
  <c r="AW320" i="5" s="1" a="1"/>
  <c r="AW320" i="5" s="1"/>
  <c r="H320" i="5"/>
  <c r="G320" i="5"/>
  <c r="E313" i="5"/>
  <c r="AZ312" i="5" a="1"/>
  <c r="AZ312" i="5" s="1"/>
  <c r="AY312" i="5" a="1"/>
  <c r="AY312" i="5" s="1"/>
  <c r="AX312" i="5" a="1"/>
  <c r="AX312" i="5" s="1"/>
  <c r="AW312" i="5" a="1"/>
  <c r="AW312" i="5" s="1"/>
  <c r="AV312" i="5" a="1"/>
  <c r="AV312" i="5" s="1"/>
  <c r="AU312" i="5" a="1"/>
  <c r="AU312" i="5" s="1"/>
  <c r="AT312" i="5" a="1"/>
  <c r="AT312" i="5" s="1"/>
  <c r="AS312" i="5" a="1"/>
  <c r="AS312" i="5" s="1"/>
  <c r="AR312" i="5" a="1"/>
  <c r="AR312" i="5" s="1"/>
  <c r="AQ312" i="5" a="1"/>
  <c r="AQ312" i="5" s="1"/>
  <c r="AP312" i="5" a="1"/>
  <c r="AP312" i="5" s="1"/>
  <c r="AO312" i="5" a="1"/>
  <c r="AO312" i="5" s="1"/>
  <c r="AN312" i="5" a="1"/>
  <c r="AN312" i="5" s="1"/>
  <c r="AM312" i="5" a="1"/>
  <c r="AM312" i="5" s="1"/>
  <c r="AL312" i="5" a="1"/>
  <c r="AL312" i="5" s="1"/>
  <c r="AK312" i="5" a="1"/>
  <c r="AK312" i="5" s="1"/>
  <c r="AJ312" i="5" a="1"/>
  <c r="AJ312" i="5" s="1"/>
  <c r="AI312" i="5" a="1"/>
  <c r="AI312" i="5" s="1"/>
  <c r="AH312" i="5" a="1"/>
  <c r="AH312" i="5" s="1"/>
  <c r="AG312" i="5" a="1"/>
  <c r="AG312" i="5" s="1"/>
  <c r="AF312" i="5" a="1"/>
  <c r="AF312" i="5" s="1"/>
  <c r="AE312" i="5" a="1"/>
  <c r="AE312" i="5" s="1"/>
  <c r="AD312" i="5" a="1"/>
  <c r="AD312" i="5" s="1"/>
  <c r="AC312" i="5" a="1"/>
  <c r="AC312" i="5" s="1"/>
  <c r="AB312" i="5" a="1"/>
  <c r="AB312" i="5" s="1"/>
  <c r="AA312" i="5" a="1"/>
  <c r="AA312" i="5" s="1"/>
  <c r="Z312" i="5" a="1"/>
  <c r="Z312" i="5" s="1"/>
  <c r="Y312" i="5" a="1"/>
  <c r="Y312" i="5" s="1"/>
  <c r="X312" i="5" a="1"/>
  <c r="X312" i="5" s="1"/>
  <c r="W312" i="5" a="1"/>
  <c r="W312" i="5" s="1"/>
  <c r="V312" i="5" a="1"/>
  <c r="V312" i="5" s="1"/>
  <c r="U312" i="5" a="1"/>
  <c r="U312" i="5" s="1"/>
  <c r="T312" i="5" a="1"/>
  <c r="T312" i="5" s="1"/>
  <c r="R312" i="5"/>
  <c r="P312" i="5"/>
  <c r="H312" i="5"/>
  <c r="G312" i="5"/>
  <c r="AZ311" i="5" a="1"/>
  <c r="AZ311" i="5" s="1"/>
  <c r="AY311" i="5" a="1"/>
  <c r="AY311" i="5" s="1"/>
  <c r="AX311" i="5" a="1"/>
  <c r="AX311" i="5" s="1"/>
  <c r="AW311" i="5" a="1"/>
  <c r="AW311" i="5" s="1"/>
  <c r="AV311" i="5" a="1"/>
  <c r="AV311" i="5" s="1"/>
  <c r="AU311" i="5" a="1"/>
  <c r="AU311" i="5" s="1"/>
  <c r="AT311" i="5" a="1"/>
  <c r="AT311" i="5" s="1"/>
  <c r="AS311" i="5" a="1"/>
  <c r="AS311" i="5" s="1"/>
  <c r="AR311" i="5" a="1"/>
  <c r="AR311" i="5" s="1"/>
  <c r="AQ311" i="5" a="1"/>
  <c r="AQ311" i="5" s="1"/>
  <c r="AP311" i="5" a="1"/>
  <c r="AP311" i="5" s="1"/>
  <c r="AO311" i="5" a="1"/>
  <c r="AO311" i="5" s="1"/>
  <c r="AN311" i="5" a="1"/>
  <c r="AN311" i="5" s="1"/>
  <c r="AM311" i="5" a="1"/>
  <c r="AM311" i="5" s="1"/>
  <c r="AL311" i="5" a="1"/>
  <c r="AL311" i="5" s="1"/>
  <c r="AK311" i="5" a="1"/>
  <c r="AK311" i="5" s="1"/>
  <c r="AJ311" i="5" a="1"/>
  <c r="AJ311" i="5" s="1"/>
  <c r="AI311" i="5" a="1"/>
  <c r="AI311" i="5" s="1"/>
  <c r="AH311" i="5" a="1"/>
  <c r="AH311" i="5" s="1"/>
  <c r="AG311" i="5" a="1"/>
  <c r="AG311" i="5" s="1"/>
  <c r="AF311" i="5" a="1"/>
  <c r="AF311" i="5" s="1"/>
  <c r="AE311" i="5" a="1"/>
  <c r="AE311" i="5" s="1"/>
  <c r="AD311" i="5" a="1"/>
  <c r="AD311" i="5" s="1"/>
  <c r="AC311" i="5" a="1"/>
  <c r="AC311" i="5" s="1"/>
  <c r="AB311" i="5" a="1"/>
  <c r="AB311" i="5" s="1"/>
  <c r="AA311" i="5" a="1"/>
  <c r="AA311" i="5" s="1"/>
  <c r="Z311" i="5" a="1"/>
  <c r="Z311" i="5" s="1"/>
  <c r="Y311" i="5" a="1"/>
  <c r="Y311" i="5" s="1"/>
  <c r="X311" i="5" a="1"/>
  <c r="X311" i="5" s="1"/>
  <c r="W311" i="5" a="1"/>
  <c r="W311" i="5" s="1"/>
  <c r="V311" i="5" a="1"/>
  <c r="V311" i="5" s="1"/>
  <c r="U311" i="5" a="1"/>
  <c r="U311" i="5" s="1"/>
  <c r="T311" i="5" a="1"/>
  <c r="T311" i="5" s="1"/>
  <c r="R311" i="5"/>
  <c r="P311" i="5"/>
  <c r="H311" i="5"/>
  <c r="G311" i="5"/>
  <c r="AZ310" i="5" a="1"/>
  <c r="AZ310" i="5" s="1"/>
  <c r="AY310" i="5" a="1"/>
  <c r="AY310" i="5" s="1"/>
  <c r="AX310" i="5" a="1"/>
  <c r="AX310" i="5" s="1"/>
  <c r="AW310" i="5" a="1"/>
  <c r="AW310" i="5" s="1"/>
  <c r="AV310" i="5" a="1"/>
  <c r="AV310" i="5" s="1"/>
  <c r="AU310" i="5" a="1"/>
  <c r="AU310" i="5" s="1"/>
  <c r="AT310" i="5" a="1"/>
  <c r="AT310" i="5" s="1"/>
  <c r="AS310" i="5" a="1"/>
  <c r="AS310" i="5" s="1"/>
  <c r="AR310" i="5" a="1"/>
  <c r="AR310" i="5" s="1"/>
  <c r="AQ310" i="5" a="1"/>
  <c r="AQ310" i="5" s="1"/>
  <c r="AP310" i="5" a="1"/>
  <c r="AP310" i="5" s="1"/>
  <c r="AO310" i="5" a="1"/>
  <c r="AO310" i="5" s="1"/>
  <c r="AN310" i="5" a="1"/>
  <c r="AN310" i="5" s="1"/>
  <c r="AM310" i="5" a="1"/>
  <c r="AM310" i="5" s="1"/>
  <c r="AL310" i="5" a="1"/>
  <c r="AL310" i="5" s="1"/>
  <c r="AK310" i="5" a="1"/>
  <c r="AK310" i="5" s="1"/>
  <c r="AJ310" i="5" a="1"/>
  <c r="AJ310" i="5" s="1"/>
  <c r="AI310" i="5" a="1"/>
  <c r="AI310" i="5" s="1"/>
  <c r="AH310" i="5" a="1"/>
  <c r="AH310" i="5" s="1"/>
  <c r="AG310" i="5" a="1"/>
  <c r="AG310" i="5" s="1"/>
  <c r="AF310" i="5" a="1"/>
  <c r="AF310" i="5" s="1"/>
  <c r="AE310" i="5" a="1"/>
  <c r="AE310" i="5" s="1"/>
  <c r="AD310" i="5" a="1"/>
  <c r="AD310" i="5" s="1"/>
  <c r="AC310" i="5" a="1"/>
  <c r="AC310" i="5" s="1"/>
  <c r="AB310" i="5" a="1"/>
  <c r="AB310" i="5" s="1"/>
  <c r="AA310" i="5" a="1"/>
  <c r="AA310" i="5" s="1"/>
  <c r="Z310" i="5" a="1"/>
  <c r="Z310" i="5" s="1"/>
  <c r="Y310" i="5" a="1"/>
  <c r="Y310" i="5" s="1"/>
  <c r="X310" i="5" a="1"/>
  <c r="X310" i="5" s="1"/>
  <c r="W310" i="5" a="1"/>
  <c r="W310" i="5" s="1"/>
  <c r="V310" i="5" a="1"/>
  <c r="V310" i="5" s="1"/>
  <c r="U310" i="5" a="1"/>
  <c r="U310" i="5" s="1"/>
  <c r="T310" i="5" a="1"/>
  <c r="T310" i="5" s="1"/>
  <c r="R310" i="5"/>
  <c r="P310" i="5"/>
  <c r="H310" i="5"/>
  <c r="G310" i="5"/>
  <c r="AZ309" i="5" a="1"/>
  <c r="AZ309" i="5" s="1"/>
  <c r="AY309" i="5" a="1"/>
  <c r="AY309" i="5" s="1"/>
  <c r="AX309" i="5" a="1"/>
  <c r="AX309" i="5" s="1"/>
  <c r="AW309" i="5" a="1"/>
  <c r="AW309" i="5" s="1"/>
  <c r="AV309" i="5" a="1"/>
  <c r="AV309" i="5" s="1"/>
  <c r="AU309" i="5" a="1"/>
  <c r="AU309" i="5" s="1"/>
  <c r="AT309" i="5" a="1"/>
  <c r="AT309" i="5" s="1"/>
  <c r="AS309" i="5" a="1"/>
  <c r="AS309" i="5" s="1"/>
  <c r="AR309" i="5" a="1"/>
  <c r="AR309" i="5" s="1"/>
  <c r="AQ309" i="5" a="1"/>
  <c r="AQ309" i="5" s="1"/>
  <c r="AP309" i="5" a="1"/>
  <c r="AP309" i="5" s="1"/>
  <c r="AO309" i="5" a="1"/>
  <c r="AO309" i="5" s="1"/>
  <c r="AN309" i="5" a="1"/>
  <c r="AN309" i="5" s="1"/>
  <c r="AM309" i="5" a="1"/>
  <c r="AM309" i="5" s="1"/>
  <c r="AL309" i="5" a="1"/>
  <c r="AL309" i="5" s="1"/>
  <c r="AK309" i="5" a="1"/>
  <c r="AK309" i="5" s="1"/>
  <c r="AJ309" i="5" a="1"/>
  <c r="AJ309" i="5" s="1"/>
  <c r="AI309" i="5" a="1"/>
  <c r="AI309" i="5" s="1"/>
  <c r="AH309" i="5" a="1"/>
  <c r="AH309" i="5" s="1"/>
  <c r="AG309" i="5" a="1"/>
  <c r="AG309" i="5" s="1"/>
  <c r="AF309" i="5" a="1"/>
  <c r="AF309" i="5" s="1"/>
  <c r="AE309" i="5" a="1"/>
  <c r="AE309" i="5" s="1"/>
  <c r="AD309" i="5" a="1"/>
  <c r="AD309" i="5" s="1"/>
  <c r="AC309" i="5" a="1"/>
  <c r="AC309" i="5" s="1"/>
  <c r="AB309" i="5" a="1"/>
  <c r="AB309" i="5" s="1"/>
  <c r="AA309" i="5" a="1"/>
  <c r="AA309" i="5" s="1"/>
  <c r="Z309" i="5" a="1"/>
  <c r="Z309" i="5" s="1"/>
  <c r="Y309" i="5" a="1"/>
  <c r="Y309" i="5" s="1"/>
  <c r="X309" i="5" a="1"/>
  <c r="X309" i="5" s="1"/>
  <c r="W309" i="5" a="1"/>
  <c r="W309" i="5" s="1"/>
  <c r="V309" i="5" a="1"/>
  <c r="V309" i="5" s="1"/>
  <c r="U309" i="5" a="1"/>
  <c r="U309" i="5" s="1"/>
  <c r="T309" i="5" a="1"/>
  <c r="T309" i="5" s="1"/>
  <c r="R309" i="5"/>
  <c r="P309" i="5"/>
  <c r="H309" i="5"/>
  <c r="G309" i="5"/>
  <c r="AZ308" i="5" a="1"/>
  <c r="AZ308" i="5" s="1"/>
  <c r="AY308" i="5" a="1"/>
  <c r="AY308" i="5" s="1"/>
  <c r="AX308" i="5" a="1"/>
  <c r="AX308" i="5" s="1"/>
  <c r="AW308" i="5" a="1"/>
  <c r="AW308" i="5" s="1"/>
  <c r="AV308" i="5" a="1"/>
  <c r="AV308" i="5" s="1"/>
  <c r="AU308" i="5" a="1"/>
  <c r="AU308" i="5" s="1"/>
  <c r="AT308" i="5" a="1"/>
  <c r="AT308" i="5" s="1"/>
  <c r="AS308" i="5" a="1"/>
  <c r="AS308" i="5" s="1"/>
  <c r="AR308" i="5" a="1"/>
  <c r="AR308" i="5" s="1"/>
  <c r="AQ308" i="5" a="1"/>
  <c r="AQ308" i="5" s="1"/>
  <c r="AP308" i="5" a="1"/>
  <c r="AP308" i="5" s="1"/>
  <c r="AO308" i="5" a="1"/>
  <c r="AO308" i="5" s="1"/>
  <c r="AN308" i="5" a="1"/>
  <c r="AN308" i="5" s="1"/>
  <c r="AM308" i="5" a="1"/>
  <c r="AM308" i="5" s="1"/>
  <c r="AL308" i="5" a="1"/>
  <c r="AL308" i="5" s="1"/>
  <c r="AK308" i="5" a="1"/>
  <c r="AK308" i="5" s="1"/>
  <c r="AJ308" i="5" a="1"/>
  <c r="AJ308" i="5" s="1"/>
  <c r="AI308" i="5" a="1"/>
  <c r="AI308" i="5" s="1"/>
  <c r="AH308" i="5" a="1"/>
  <c r="AH308" i="5" s="1"/>
  <c r="AG308" i="5" a="1"/>
  <c r="AG308" i="5" s="1"/>
  <c r="AF308" i="5" a="1"/>
  <c r="AF308" i="5" s="1"/>
  <c r="AE308" i="5" a="1"/>
  <c r="AE308" i="5" s="1"/>
  <c r="AD308" i="5" a="1"/>
  <c r="AD308" i="5" s="1"/>
  <c r="AC308" i="5" a="1"/>
  <c r="AC308" i="5" s="1"/>
  <c r="AB308" i="5" a="1"/>
  <c r="AB308" i="5" s="1"/>
  <c r="AA308" i="5" a="1"/>
  <c r="AA308" i="5" s="1"/>
  <c r="Z308" i="5" a="1"/>
  <c r="Z308" i="5" s="1"/>
  <c r="Y308" i="5" a="1"/>
  <c r="Y308" i="5" s="1"/>
  <c r="X308" i="5" a="1"/>
  <c r="X308" i="5" s="1"/>
  <c r="W308" i="5" a="1"/>
  <c r="W308" i="5" s="1"/>
  <c r="V308" i="5" a="1"/>
  <c r="V308" i="5" s="1"/>
  <c r="U308" i="5" a="1"/>
  <c r="U308" i="5" s="1"/>
  <c r="T308" i="5" a="1"/>
  <c r="T308" i="5" s="1"/>
  <c r="R308" i="5"/>
  <c r="P308" i="5"/>
  <c r="H308" i="5"/>
  <c r="G308" i="5"/>
  <c r="AW307" i="5" a="1"/>
  <c r="AW307" i="5" s="1"/>
  <c r="AU307" i="5" a="1"/>
  <c r="AU307" i="5" s="1"/>
  <c r="AO307" i="5" a="1"/>
  <c r="AO307" i="5" s="1"/>
  <c r="AM307" i="5" a="1"/>
  <c r="AM307" i="5" s="1"/>
  <c r="AG307" i="5" a="1"/>
  <c r="AG307" i="5" s="1"/>
  <c r="AE307" i="5" a="1"/>
  <c r="AE307" i="5" s="1"/>
  <c r="Y307" i="5" a="1"/>
  <c r="Y307" i="5" s="1"/>
  <c r="W307" i="5" a="1"/>
  <c r="W307" i="5" s="1"/>
  <c r="R307" i="5"/>
  <c r="P307" i="5"/>
  <c r="AV307" i="5" s="1" a="1"/>
  <c r="AV307" i="5" s="1"/>
  <c r="H307" i="5"/>
  <c r="G307" i="5"/>
  <c r="E300" i="5"/>
  <c r="AZ299" i="5" a="1"/>
  <c r="AZ299" i="5" s="1"/>
  <c r="AY299" i="5" a="1"/>
  <c r="AY299" i="5" s="1"/>
  <c r="AX299" i="5" a="1"/>
  <c r="AX299" i="5" s="1"/>
  <c r="AW299" i="5" a="1"/>
  <c r="AW299" i="5" s="1"/>
  <c r="AV299" i="5" a="1"/>
  <c r="AV299" i="5" s="1"/>
  <c r="AU299" i="5" a="1"/>
  <c r="AU299" i="5" s="1"/>
  <c r="AT299" i="5" a="1"/>
  <c r="AT299" i="5" s="1"/>
  <c r="AS299" i="5" a="1"/>
  <c r="AS299" i="5" s="1"/>
  <c r="AR299" i="5" a="1"/>
  <c r="AR299" i="5" s="1"/>
  <c r="AQ299" i="5" a="1"/>
  <c r="AQ299" i="5" s="1"/>
  <c r="AP299" i="5" a="1"/>
  <c r="AP299" i="5" s="1"/>
  <c r="AO299" i="5" a="1"/>
  <c r="AO299" i="5" s="1"/>
  <c r="AN299" i="5" a="1"/>
  <c r="AN299" i="5" s="1"/>
  <c r="AM299" i="5" a="1"/>
  <c r="AM299" i="5" s="1"/>
  <c r="AL299" i="5" a="1"/>
  <c r="AL299" i="5" s="1"/>
  <c r="AK299" i="5" a="1"/>
  <c r="AK299" i="5" s="1"/>
  <c r="AJ299" i="5" a="1"/>
  <c r="AJ299" i="5" s="1"/>
  <c r="AI299" i="5" a="1"/>
  <c r="AI299" i="5" s="1"/>
  <c r="AH299" i="5" a="1"/>
  <c r="AH299" i="5" s="1"/>
  <c r="AG299" i="5" a="1"/>
  <c r="AG299" i="5" s="1"/>
  <c r="AF299" i="5" a="1"/>
  <c r="AF299" i="5" s="1"/>
  <c r="AE299" i="5" a="1"/>
  <c r="AE299" i="5" s="1"/>
  <c r="AD299" i="5" a="1"/>
  <c r="AD299" i="5" s="1"/>
  <c r="AC299" i="5" a="1"/>
  <c r="AC299" i="5" s="1"/>
  <c r="AB299" i="5" a="1"/>
  <c r="AB299" i="5" s="1"/>
  <c r="AA299" i="5" a="1"/>
  <c r="AA299" i="5" s="1"/>
  <c r="Z299" i="5" a="1"/>
  <c r="Z299" i="5" s="1"/>
  <c r="Y299" i="5" a="1"/>
  <c r="Y299" i="5" s="1"/>
  <c r="X299" i="5" a="1"/>
  <c r="X299" i="5" s="1"/>
  <c r="W299" i="5" a="1"/>
  <c r="W299" i="5" s="1"/>
  <c r="V299" i="5" a="1"/>
  <c r="V299" i="5" s="1"/>
  <c r="U299" i="5" a="1"/>
  <c r="U299" i="5" s="1"/>
  <c r="T299" i="5" a="1"/>
  <c r="T299" i="5" s="1"/>
  <c r="R299" i="5"/>
  <c r="P299" i="5"/>
  <c r="H299" i="5"/>
  <c r="G299" i="5"/>
  <c r="AU298" i="5" a="1"/>
  <c r="AU298" i="5" s="1"/>
  <c r="AP298" i="5" a="1"/>
  <c r="AP298" i="5" s="1"/>
  <c r="AM298" i="5" a="1"/>
  <c r="AM298" i="5" s="1"/>
  <c r="AE298" i="5" a="1"/>
  <c r="AE298" i="5" s="1"/>
  <c r="Z298" i="5" a="1"/>
  <c r="Z298" i="5" s="1"/>
  <c r="W298" i="5" a="1"/>
  <c r="W298" i="5" s="1"/>
  <c r="R298" i="5"/>
  <c r="P298" i="5"/>
  <c r="AY298" i="5" s="1" a="1"/>
  <c r="AY298" i="5" s="1"/>
  <c r="H298" i="5"/>
  <c r="G298" i="5"/>
  <c r="AZ297" i="5" a="1"/>
  <c r="AZ297" i="5" s="1"/>
  <c r="AY297" i="5" a="1"/>
  <c r="AY297" i="5" s="1"/>
  <c r="AX297" i="5" a="1"/>
  <c r="AX297" i="5" s="1"/>
  <c r="AW297" i="5" a="1"/>
  <c r="AW297" i="5" s="1"/>
  <c r="AV297" i="5" a="1"/>
  <c r="AV297" i="5" s="1"/>
  <c r="AU297" i="5" a="1"/>
  <c r="AU297" i="5" s="1"/>
  <c r="AT297" i="5" a="1"/>
  <c r="AT297" i="5" s="1"/>
  <c r="AS297" i="5" a="1"/>
  <c r="AS297" i="5" s="1"/>
  <c r="AR297" i="5" a="1"/>
  <c r="AR297" i="5" s="1"/>
  <c r="AQ297" i="5" a="1"/>
  <c r="AQ297" i="5" s="1"/>
  <c r="AP297" i="5" a="1"/>
  <c r="AP297" i="5" s="1"/>
  <c r="AO297" i="5" a="1"/>
  <c r="AO297" i="5" s="1"/>
  <c r="AN297" i="5" a="1"/>
  <c r="AN297" i="5" s="1"/>
  <c r="AM297" i="5" a="1"/>
  <c r="AM297" i="5" s="1"/>
  <c r="AL297" i="5" a="1"/>
  <c r="AL297" i="5" s="1"/>
  <c r="AK297" i="5" a="1"/>
  <c r="AK297" i="5" s="1"/>
  <c r="AJ297" i="5" a="1"/>
  <c r="AJ297" i="5" s="1"/>
  <c r="AI297" i="5" a="1"/>
  <c r="AI297" i="5" s="1"/>
  <c r="AH297" i="5" a="1"/>
  <c r="AH297" i="5" s="1"/>
  <c r="AG297" i="5" a="1"/>
  <c r="AG297" i="5" s="1"/>
  <c r="AF297" i="5" a="1"/>
  <c r="AF297" i="5" s="1"/>
  <c r="AE297" i="5" a="1"/>
  <c r="AE297" i="5" s="1"/>
  <c r="AD297" i="5" a="1"/>
  <c r="AD297" i="5" s="1"/>
  <c r="AC297" i="5" a="1"/>
  <c r="AC297" i="5" s="1"/>
  <c r="AB297" i="5" a="1"/>
  <c r="AB297" i="5" s="1"/>
  <c r="AA297" i="5" a="1"/>
  <c r="AA297" i="5" s="1"/>
  <c r="Z297" i="5" a="1"/>
  <c r="Z297" i="5" s="1"/>
  <c r="Y297" i="5" a="1"/>
  <c r="Y297" i="5" s="1"/>
  <c r="X297" i="5" a="1"/>
  <c r="X297" i="5" s="1"/>
  <c r="W297" i="5" a="1"/>
  <c r="W297" i="5" s="1"/>
  <c r="V297" i="5" a="1"/>
  <c r="V297" i="5" s="1"/>
  <c r="U297" i="5" a="1"/>
  <c r="U297" i="5" s="1"/>
  <c r="T297" i="5" a="1"/>
  <c r="T297" i="5" s="1"/>
  <c r="R297" i="5"/>
  <c r="P297" i="5"/>
  <c r="H297" i="5"/>
  <c r="G297" i="5"/>
  <c r="AZ296" i="5" a="1"/>
  <c r="AZ296" i="5" s="1"/>
  <c r="AY296" i="5" a="1"/>
  <c r="AY296" i="5" s="1"/>
  <c r="AX296" i="5" a="1"/>
  <c r="AX296" i="5" s="1"/>
  <c r="AW296" i="5" a="1"/>
  <c r="AW296" i="5" s="1"/>
  <c r="AV296" i="5" a="1"/>
  <c r="AV296" i="5" s="1"/>
  <c r="AU296" i="5" a="1"/>
  <c r="AU296" i="5" s="1"/>
  <c r="AT296" i="5" a="1"/>
  <c r="AT296" i="5" s="1"/>
  <c r="AS296" i="5" a="1"/>
  <c r="AS296" i="5" s="1"/>
  <c r="AR296" i="5" a="1"/>
  <c r="AR296" i="5" s="1"/>
  <c r="AQ296" i="5" a="1"/>
  <c r="AQ296" i="5" s="1"/>
  <c r="AP296" i="5" a="1"/>
  <c r="AP296" i="5" s="1"/>
  <c r="AO296" i="5" a="1"/>
  <c r="AO296" i="5" s="1"/>
  <c r="AN296" i="5" a="1"/>
  <c r="AN296" i="5" s="1"/>
  <c r="AM296" i="5" a="1"/>
  <c r="AM296" i="5" s="1"/>
  <c r="AL296" i="5" a="1"/>
  <c r="AL296" i="5" s="1"/>
  <c r="AK296" i="5" a="1"/>
  <c r="AK296" i="5" s="1"/>
  <c r="AJ296" i="5" a="1"/>
  <c r="AJ296" i="5" s="1"/>
  <c r="AI296" i="5" a="1"/>
  <c r="AI296" i="5" s="1"/>
  <c r="AH296" i="5" a="1"/>
  <c r="AH296" i="5" s="1"/>
  <c r="AG296" i="5" a="1"/>
  <c r="AG296" i="5" s="1"/>
  <c r="AF296" i="5" a="1"/>
  <c r="AF296" i="5" s="1"/>
  <c r="AE296" i="5" a="1"/>
  <c r="AE296" i="5" s="1"/>
  <c r="AD296" i="5" a="1"/>
  <c r="AD296" i="5" s="1"/>
  <c r="AC296" i="5" a="1"/>
  <c r="AC296" i="5" s="1"/>
  <c r="AB296" i="5" a="1"/>
  <c r="AB296" i="5" s="1"/>
  <c r="AA296" i="5" a="1"/>
  <c r="AA296" i="5" s="1"/>
  <c r="Z296" i="5" a="1"/>
  <c r="Z296" i="5" s="1"/>
  <c r="Y296" i="5" a="1"/>
  <c r="Y296" i="5" s="1"/>
  <c r="X296" i="5" a="1"/>
  <c r="X296" i="5" s="1"/>
  <c r="W296" i="5" a="1"/>
  <c r="W296" i="5" s="1"/>
  <c r="V296" i="5" a="1"/>
  <c r="V296" i="5" s="1"/>
  <c r="U296" i="5" a="1"/>
  <c r="U296" i="5" s="1"/>
  <c r="T296" i="5" a="1"/>
  <c r="T296" i="5" s="1"/>
  <c r="R296" i="5"/>
  <c r="P296" i="5"/>
  <c r="H296" i="5"/>
  <c r="G296" i="5"/>
  <c r="AZ295" i="5" a="1"/>
  <c r="AZ295" i="5" s="1"/>
  <c r="AY295" i="5" a="1"/>
  <c r="AY295" i="5" s="1"/>
  <c r="AX295" i="5" a="1"/>
  <c r="AX295" i="5" s="1"/>
  <c r="AW295" i="5" a="1"/>
  <c r="AW295" i="5" s="1"/>
  <c r="AV295" i="5" a="1"/>
  <c r="AV295" i="5" s="1"/>
  <c r="AU295" i="5" a="1"/>
  <c r="AU295" i="5" s="1"/>
  <c r="AT295" i="5" a="1"/>
  <c r="AT295" i="5" s="1"/>
  <c r="AS295" i="5" a="1"/>
  <c r="AS295" i="5" s="1"/>
  <c r="AR295" i="5" a="1"/>
  <c r="AR295" i="5" s="1"/>
  <c r="AQ295" i="5" a="1"/>
  <c r="AQ295" i="5" s="1"/>
  <c r="AP295" i="5" a="1"/>
  <c r="AP295" i="5" s="1"/>
  <c r="AO295" i="5" a="1"/>
  <c r="AO295" i="5" s="1"/>
  <c r="AN295" i="5" a="1"/>
  <c r="AN295" i="5" s="1"/>
  <c r="AM295" i="5" a="1"/>
  <c r="AM295" i="5" s="1"/>
  <c r="AL295" i="5" a="1"/>
  <c r="AL295" i="5" s="1"/>
  <c r="AK295" i="5" a="1"/>
  <c r="AK295" i="5" s="1"/>
  <c r="AJ295" i="5" a="1"/>
  <c r="AJ295" i="5" s="1"/>
  <c r="AI295" i="5" a="1"/>
  <c r="AI295" i="5" s="1"/>
  <c r="AH295" i="5" a="1"/>
  <c r="AH295" i="5" s="1"/>
  <c r="AG295" i="5" a="1"/>
  <c r="AG295" i="5" s="1"/>
  <c r="AF295" i="5" a="1"/>
  <c r="AF295" i="5" s="1"/>
  <c r="AE295" i="5" a="1"/>
  <c r="AE295" i="5" s="1"/>
  <c r="AD295" i="5" a="1"/>
  <c r="AD295" i="5" s="1"/>
  <c r="AC295" i="5" a="1"/>
  <c r="AC295" i="5" s="1"/>
  <c r="AB295" i="5" a="1"/>
  <c r="AB295" i="5" s="1"/>
  <c r="AA295" i="5" a="1"/>
  <c r="AA295" i="5" s="1"/>
  <c r="Z295" i="5" a="1"/>
  <c r="Z295" i="5" s="1"/>
  <c r="Y295" i="5" a="1"/>
  <c r="Y295" i="5" s="1"/>
  <c r="X295" i="5" a="1"/>
  <c r="X295" i="5" s="1"/>
  <c r="W295" i="5" a="1"/>
  <c r="W295" i="5" s="1"/>
  <c r="V295" i="5" a="1"/>
  <c r="V295" i="5" s="1"/>
  <c r="U295" i="5" a="1"/>
  <c r="U295" i="5" s="1"/>
  <c r="T295" i="5" a="1"/>
  <c r="T295" i="5" s="1"/>
  <c r="R295" i="5"/>
  <c r="P295" i="5"/>
  <c r="H295" i="5"/>
  <c r="G295" i="5"/>
  <c r="AW294" i="5" a="1"/>
  <c r="AW294" i="5" s="1"/>
  <c r="AU294" i="5" a="1"/>
  <c r="AU294" i="5" s="1"/>
  <c r="AT294" i="5" a="1"/>
  <c r="AT294" i="5" s="1"/>
  <c r="AO294" i="5" a="1"/>
  <c r="AO294" i="5" s="1"/>
  <c r="AM294" i="5" a="1"/>
  <c r="AM294" i="5" s="1"/>
  <c r="AL294" i="5" a="1"/>
  <c r="AL294" i="5" s="1"/>
  <c r="AG294" i="5" a="1"/>
  <c r="AG294" i="5" s="1"/>
  <c r="AE294" i="5" a="1"/>
  <c r="AE294" i="5" s="1"/>
  <c r="AD294" i="5" a="1"/>
  <c r="AD294" i="5" s="1"/>
  <c r="Y294" i="5" a="1"/>
  <c r="Y294" i="5" s="1"/>
  <c r="W294" i="5" a="1"/>
  <c r="W294" i="5" s="1"/>
  <c r="V294" i="5" a="1"/>
  <c r="V294" i="5" s="1"/>
  <c r="R294" i="5"/>
  <c r="P294" i="5"/>
  <c r="AV294" i="5" s="1" a="1"/>
  <c r="AV294" i="5" s="1"/>
  <c r="H294" i="5"/>
  <c r="G294" i="5"/>
  <c r="E287" i="5"/>
  <c r="AZ286" i="5" a="1"/>
  <c r="AZ286" i="5" s="1"/>
  <c r="AY286" i="5" a="1"/>
  <c r="AY286" i="5" s="1"/>
  <c r="AX286" i="5" a="1"/>
  <c r="AX286" i="5" s="1"/>
  <c r="AW286" i="5" a="1"/>
  <c r="AW286" i="5" s="1"/>
  <c r="AV286" i="5" a="1"/>
  <c r="AV286" i="5" s="1"/>
  <c r="AU286" i="5" a="1"/>
  <c r="AU286" i="5" s="1"/>
  <c r="AT286" i="5" a="1"/>
  <c r="AT286" i="5" s="1"/>
  <c r="AS286" i="5" a="1"/>
  <c r="AS286" i="5" s="1"/>
  <c r="AR286" i="5" a="1"/>
  <c r="AR286" i="5" s="1"/>
  <c r="AQ286" i="5" a="1"/>
  <c r="AQ286" i="5" s="1"/>
  <c r="AP286" i="5" a="1"/>
  <c r="AP286" i="5" s="1"/>
  <c r="AO286" i="5" a="1"/>
  <c r="AO286" i="5" s="1"/>
  <c r="AN286" i="5" a="1"/>
  <c r="AN286" i="5" s="1"/>
  <c r="AM286" i="5" a="1"/>
  <c r="AM286" i="5" s="1"/>
  <c r="AL286" i="5" a="1"/>
  <c r="AL286" i="5" s="1"/>
  <c r="AK286" i="5" a="1"/>
  <c r="AK286" i="5" s="1"/>
  <c r="AJ286" i="5" a="1"/>
  <c r="AJ286" i="5" s="1"/>
  <c r="AI286" i="5" a="1"/>
  <c r="AI286" i="5" s="1"/>
  <c r="AH286" i="5" a="1"/>
  <c r="AH286" i="5" s="1"/>
  <c r="AG286" i="5" a="1"/>
  <c r="AG286" i="5" s="1"/>
  <c r="AF286" i="5" a="1"/>
  <c r="AF286" i="5" s="1"/>
  <c r="AE286" i="5" a="1"/>
  <c r="AE286" i="5" s="1"/>
  <c r="AD286" i="5" a="1"/>
  <c r="AD286" i="5" s="1"/>
  <c r="AC286" i="5" a="1"/>
  <c r="AC286" i="5" s="1"/>
  <c r="AB286" i="5" a="1"/>
  <c r="AB286" i="5" s="1"/>
  <c r="AA286" i="5" a="1"/>
  <c r="AA286" i="5" s="1"/>
  <c r="Z286" i="5" a="1"/>
  <c r="Z286" i="5" s="1"/>
  <c r="Y286" i="5" a="1"/>
  <c r="Y286" i="5" s="1"/>
  <c r="X286" i="5" a="1"/>
  <c r="X286" i="5" s="1"/>
  <c r="W286" i="5" a="1"/>
  <c r="W286" i="5" s="1"/>
  <c r="V286" i="5" a="1"/>
  <c r="V286" i="5" s="1"/>
  <c r="U286" i="5" a="1"/>
  <c r="U286" i="5" s="1"/>
  <c r="T286" i="5" a="1"/>
  <c r="T286" i="5" s="1"/>
  <c r="R286" i="5"/>
  <c r="P286" i="5"/>
  <c r="H286" i="5"/>
  <c r="G286" i="5"/>
  <c r="AV285" i="5" a="1"/>
  <c r="AV285" i="5" s="1"/>
  <c r="AU285" i="5" a="1"/>
  <c r="AU285" i="5" s="1"/>
  <c r="AP285" i="5" a="1"/>
  <c r="AP285" i="5" s="1"/>
  <c r="AL285" i="5" a="1"/>
  <c r="AL285" i="5" s="1"/>
  <c r="AF285" i="5" a="1"/>
  <c r="AF285" i="5" s="1"/>
  <c r="AE285" i="5" a="1"/>
  <c r="AE285" i="5" s="1"/>
  <c r="Z285" i="5" a="1"/>
  <c r="Z285" i="5" s="1"/>
  <c r="V285" i="5" a="1"/>
  <c r="V285" i="5" s="1"/>
  <c r="R285" i="5"/>
  <c r="P285" i="5"/>
  <c r="AT285" i="5" s="1" a="1"/>
  <c r="AT285" i="5" s="1"/>
  <c r="H285" i="5"/>
  <c r="G285" i="5"/>
  <c r="AZ284" i="5" a="1"/>
  <c r="AZ284" i="5" s="1"/>
  <c r="AY284" i="5" a="1"/>
  <c r="AY284" i="5" s="1"/>
  <c r="AX284" i="5" a="1"/>
  <c r="AX284" i="5" s="1"/>
  <c r="AW284" i="5" a="1"/>
  <c r="AW284" i="5" s="1"/>
  <c r="AV284" i="5" a="1"/>
  <c r="AV284" i="5" s="1"/>
  <c r="AU284" i="5" a="1"/>
  <c r="AU284" i="5" s="1"/>
  <c r="AT284" i="5" a="1"/>
  <c r="AT284" i="5" s="1"/>
  <c r="AS284" i="5" a="1"/>
  <c r="AS284" i="5" s="1"/>
  <c r="AR284" i="5" a="1"/>
  <c r="AR284" i="5" s="1"/>
  <c r="AQ284" i="5" a="1"/>
  <c r="AQ284" i="5" s="1"/>
  <c r="AP284" i="5" a="1"/>
  <c r="AP284" i="5" s="1"/>
  <c r="AO284" i="5" a="1"/>
  <c r="AO284" i="5" s="1"/>
  <c r="AN284" i="5" a="1"/>
  <c r="AN284" i="5" s="1"/>
  <c r="AM284" i="5" a="1"/>
  <c r="AM284" i="5" s="1"/>
  <c r="AL284" i="5" a="1"/>
  <c r="AL284" i="5" s="1"/>
  <c r="AK284" i="5" a="1"/>
  <c r="AK284" i="5" s="1"/>
  <c r="AJ284" i="5" a="1"/>
  <c r="AJ284" i="5" s="1"/>
  <c r="AI284" i="5" a="1"/>
  <c r="AI284" i="5" s="1"/>
  <c r="AH284" i="5" a="1"/>
  <c r="AH284" i="5" s="1"/>
  <c r="AG284" i="5" a="1"/>
  <c r="AG284" i="5" s="1"/>
  <c r="AF284" i="5" a="1"/>
  <c r="AF284" i="5" s="1"/>
  <c r="AE284" i="5" a="1"/>
  <c r="AE284" i="5" s="1"/>
  <c r="AD284" i="5" a="1"/>
  <c r="AD284" i="5" s="1"/>
  <c r="AC284" i="5" a="1"/>
  <c r="AC284" i="5" s="1"/>
  <c r="AB284" i="5" a="1"/>
  <c r="AB284" i="5" s="1"/>
  <c r="AA284" i="5" a="1"/>
  <c r="AA284" i="5" s="1"/>
  <c r="Z284" i="5" a="1"/>
  <c r="Z284" i="5" s="1"/>
  <c r="Y284" i="5" a="1"/>
  <c r="Y284" i="5" s="1"/>
  <c r="X284" i="5" a="1"/>
  <c r="X284" i="5" s="1"/>
  <c r="W284" i="5" a="1"/>
  <c r="W284" i="5" s="1"/>
  <c r="V284" i="5" a="1"/>
  <c r="V284" i="5" s="1"/>
  <c r="U284" i="5" a="1"/>
  <c r="U284" i="5" s="1"/>
  <c r="T284" i="5" a="1"/>
  <c r="T284" i="5" s="1"/>
  <c r="R284" i="5"/>
  <c r="P284" i="5"/>
  <c r="H284" i="5"/>
  <c r="G284" i="5"/>
  <c r="AZ283" i="5" a="1"/>
  <c r="AZ283" i="5" s="1"/>
  <c r="AY283" i="5" a="1"/>
  <c r="AY283" i="5" s="1"/>
  <c r="AX283" i="5" a="1"/>
  <c r="AX283" i="5" s="1"/>
  <c r="AW283" i="5" a="1"/>
  <c r="AW283" i="5" s="1"/>
  <c r="AV283" i="5" a="1"/>
  <c r="AV283" i="5" s="1"/>
  <c r="AU283" i="5" a="1"/>
  <c r="AU283" i="5" s="1"/>
  <c r="AT283" i="5" a="1"/>
  <c r="AT283" i="5" s="1"/>
  <c r="AS283" i="5" a="1"/>
  <c r="AS283" i="5" s="1"/>
  <c r="AR283" i="5" a="1"/>
  <c r="AR283" i="5" s="1"/>
  <c r="AQ283" i="5" a="1"/>
  <c r="AQ283" i="5" s="1"/>
  <c r="AP283" i="5" a="1"/>
  <c r="AP283" i="5" s="1"/>
  <c r="AO283" i="5" a="1"/>
  <c r="AO283" i="5" s="1"/>
  <c r="AN283" i="5" a="1"/>
  <c r="AN283" i="5" s="1"/>
  <c r="AM283" i="5" a="1"/>
  <c r="AM283" i="5" s="1"/>
  <c r="AL283" i="5" a="1"/>
  <c r="AL283" i="5" s="1"/>
  <c r="AK283" i="5" a="1"/>
  <c r="AK283" i="5" s="1"/>
  <c r="AJ283" i="5" a="1"/>
  <c r="AJ283" i="5" s="1"/>
  <c r="AI283" i="5" a="1"/>
  <c r="AI283" i="5" s="1"/>
  <c r="AH283" i="5" a="1"/>
  <c r="AH283" i="5" s="1"/>
  <c r="AG283" i="5" a="1"/>
  <c r="AG283" i="5" s="1"/>
  <c r="AF283" i="5" a="1"/>
  <c r="AF283" i="5" s="1"/>
  <c r="AE283" i="5" a="1"/>
  <c r="AE283" i="5" s="1"/>
  <c r="AD283" i="5" a="1"/>
  <c r="AD283" i="5" s="1"/>
  <c r="AC283" i="5" a="1"/>
  <c r="AC283" i="5" s="1"/>
  <c r="AB283" i="5" a="1"/>
  <c r="AB283" i="5" s="1"/>
  <c r="AA283" i="5" a="1"/>
  <c r="AA283" i="5" s="1"/>
  <c r="Z283" i="5" a="1"/>
  <c r="Z283" i="5" s="1"/>
  <c r="Y283" i="5" a="1"/>
  <c r="Y283" i="5" s="1"/>
  <c r="X283" i="5" a="1"/>
  <c r="X283" i="5" s="1"/>
  <c r="W283" i="5" a="1"/>
  <c r="W283" i="5" s="1"/>
  <c r="V283" i="5" a="1"/>
  <c r="V283" i="5" s="1"/>
  <c r="U283" i="5" a="1"/>
  <c r="U283" i="5" s="1"/>
  <c r="T283" i="5" a="1"/>
  <c r="T283" i="5" s="1"/>
  <c r="R283" i="5"/>
  <c r="P283" i="5"/>
  <c r="H283" i="5"/>
  <c r="G283" i="5"/>
  <c r="AZ282" i="5" a="1"/>
  <c r="AZ282" i="5" s="1"/>
  <c r="AY282" i="5" a="1"/>
  <c r="AY282" i="5" s="1"/>
  <c r="AX282" i="5" a="1"/>
  <c r="AX282" i="5" s="1"/>
  <c r="AW282" i="5" a="1"/>
  <c r="AW282" i="5" s="1"/>
  <c r="AV282" i="5" a="1"/>
  <c r="AV282" i="5" s="1"/>
  <c r="AU282" i="5" a="1"/>
  <c r="AU282" i="5" s="1"/>
  <c r="AT282" i="5" a="1"/>
  <c r="AT282" i="5" s="1"/>
  <c r="AS282" i="5" a="1"/>
  <c r="AS282" i="5" s="1"/>
  <c r="AR282" i="5" a="1"/>
  <c r="AR282" i="5" s="1"/>
  <c r="AQ282" i="5" a="1"/>
  <c r="AQ282" i="5" s="1"/>
  <c r="AP282" i="5" a="1"/>
  <c r="AP282" i="5" s="1"/>
  <c r="AO282" i="5" a="1"/>
  <c r="AO282" i="5" s="1"/>
  <c r="AN282" i="5" a="1"/>
  <c r="AN282" i="5" s="1"/>
  <c r="AM282" i="5" a="1"/>
  <c r="AM282" i="5" s="1"/>
  <c r="AL282" i="5" a="1"/>
  <c r="AL282" i="5" s="1"/>
  <c r="AK282" i="5" a="1"/>
  <c r="AK282" i="5" s="1"/>
  <c r="AJ282" i="5" a="1"/>
  <c r="AJ282" i="5" s="1"/>
  <c r="AI282" i="5" a="1"/>
  <c r="AI282" i="5" s="1"/>
  <c r="AH282" i="5" a="1"/>
  <c r="AH282" i="5" s="1"/>
  <c r="AG282" i="5" a="1"/>
  <c r="AG282" i="5" s="1"/>
  <c r="AF282" i="5" a="1"/>
  <c r="AF282" i="5" s="1"/>
  <c r="AE282" i="5" a="1"/>
  <c r="AE282" i="5" s="1"/>
  <c r="AD282" i="5" a="1"/>
  <c r="AD282" i="5" s="1"/>
  <c r="AC282" i="5" a="1"/>
  <c r="AC282" i="5" s="1"/>
  <c r="AB282" i="5" a="1"/>
  <c r="AB282" i="5" s="1"/>
  <c r="AA282" i="5" a="1"/>
  <c r="AA282" i="5" s="1"/>
  <c r="Z282" i="5" a="1"/>
  <c r="Z282" i="5" s="1"/>
  <c r="Y282" i="5" a="1"/>
  <c r="Y282" i="5" s="1"/>
  <c r="X282" i="5" a="1"/>
  <c r="X282" i="5" s="1"/>
  <c r="W282" i="5" a="1"/>
  <c r="W282" i="5" s="1"/>
  <c r="V282" i="5" a="1"/>
  <c r="V282" i="5" s="1"/>
  <c r="U282" i="5" a="1"/>
  <c r="U282" i="5" s="1"/>
  <c r="T282" i="5" a="1"/>
  <c r="T282" i="5" s="1"/>
  <c r="R282" i="5"/>
  <c r="P282" i="5"/>
  <c r="H282" i="5"/>
  <c r="G282" i="5"/>
  <c r="AW281" i="5" a="1"/>
  <c r="AW281" i="5" s="1"/>
  <c r="AU281" i="5" a="1"/>
  <c r="AU281" i="5" s="1"/>
  <c r="AO281" i="5" a="1"/>
  <c r="AO281" i="5" s="1"/>
  <c r="AM281" i="5" a="1"/>
  <c r="AM281" i="5" s="1"/>
  <c r="AG281" i="5" a="1"/>
  <c r="AG281" i="5" s="1"/>
  <c r="AE281" i="5" a="1"/>
  <c r="AE281" i="5" s="1"/>
  <c r="Y281" i="5" a="1"/>
  <c r="Y281" i="5" s="1"/>
  <c r="W281" i="5" a="1"/>
  <c r="W281" i="5" s="1"/>
  <c r="R281" i="5"/>
  <c r="P281" i="5"/>
  <c r="AV281" i="5" s="1" a="1"/>
  <c r="AV281" i="5" s="1"/>
  <c r="H281" i="5"/>
  <c r="G281" i="5"/>
  <c r="H195" i="5"/>
  <c r="G195" i="5"/>
  <c r="H208" i="5"/>
  <c r="G208" i="5"/>
  <c r="H221" i="5"/>
  <c r="G221" i="5"/>
  <c r="H234" i="5"/>
  <c r="G234" i="5"/>
  <c r="H233" i="5"/>
  <c r="G233" i="5"/>
  <c r="H232" i="5"/>
  <c r="G232" i="5"/>
  <c r="H231" i="5"/>
  <c r="G231" i="5"/>
  <c r="H230" i="5"/>
  <c r="G230" i="5"/>
  <c r="H229" i="5"/>
  <c r="G229" i="5"/>
  <c r="H247" i="5"/>
  <c r="G247" i="5"/>
  <c r="H246" i="5"/>
  <c r="G246" i="5"/>
  <c r="H245" i="5"/>
  <c r="G245" i="5"/>
  <c r="H244" i="5"/>
  <c r="G244" i="5"/>
  <c r="H243" i="5"/>
  <c r="G243" i="5"/>
  <c r="H242" i="5"/>
  <c r="G242" i="5"/>
  <c r="H273" i="5"/>
  <c r="G273" i="5"/>
  <c r="H272" i="5"/>
  <c r="G272" i="5"/>
  <c r="H271" i="5"/>
  <c r="G271" i="5"/>
  <c r="H270" i="5"/>
  <c r="G270" i="5"/>
  <c r="H269" i="5"/>
  <c r="G269" i="5"/>
  <c r="H268" i="5"/>
  <c r="G268" i="5"/>
  <c r="H260" i="5"/>
  <c r="G260" i="5"/>
  <c r="C120" i="5"/>
  <c r="C119" i="5"/>
  <c r="C118" i="5"/>
  <c r="B264" i="5"/>
  <c r="B251" i="5"/>
  <c r="B238" i="5"/>
  <c r="B225" i="5"/>
  <c r="B212" i="5"/>
  <c r="E274" i="5"/>
  <c r="AZ273" i="5" a="1"/>
  <c r="AZ273" i="5" s="1"/>
  <c r="AY273" i="5" a="1"/>
  <c r="AY273" i="5" s="1"/>
  <c r="AX273" i="5" a="1"/>
  <c r="AX273" i="5" s="1"/>
  <c r="AW273" i="5" a="1"/>
  <c r="AW273" i="5" s="1"/>
  <c r="AV273" i="5" a="1"/>
  <c r="AV273" i="5" s="1"/>
  <c r="AU273" i="5" a="1"/>
  <c r="AU273" i="5" s="1"/>
  <c r="AT273" i="5" a="1"/>
  <c r="AT273" i="5" s="1"/>
  <c r="AS273" i="5" a="1"/>
  <c r="AS273" i="5" s="1"/>
  <c r="AR273" i="5" a="1"/>
  <c r="AR273" i="5" s="1"/>
  <c r="AQ273" i="5" a="1"/>
  <c r="AQ273" i="5" s="1"/>
  <c r="AP273" i="5" a="1"/>
  <c r="AP273" i="5" s="1"/>
  <c r="AO273" i="5" a="1"/>
  <c r="AO273" i="5" s="1"/>
  <c r="AN273" i="5" a="1"/>
  <c r="AN273" i="5" s="1"/>
  <c r="AM273" i="5" a="1"/>
  <c r="AM273" i="5" s="1"/>
  <c r="AL273" i="5" a="1"/>
  <c r="AL273" i="5" s="1"/>
  <c r="AK273" i="5" a="1"/>
  <c r="AK273" i="5" s="1"/>
  <c r="AJ273" i="5" a="1"/>
  <c r="AJ273" i="5" s="1"/>
  <c r="AI273" i="5" a="1"/>
  <c r="AI273" i="5" s="1"/>
  <c r="AH273" i="5" a="1"/>
  <c r="AH273" i="5" s="1"/>
  <c r="AG273" i="5" a="1"/>
  <c r="AG273" i="5" s="1"/>
  <c r="AF273" i="5" a="1"/>
  <c r="AF273" i="5" s="1"/>
  <c r="AE273" i="5" a="1"/>
  <c r="AE273" i="5" s="1"/>
  <c r="AD273" i="5" a="1"/>
  <c r="AD273" i="5" s="1"/>
  <c r="AC273" i="5" a="1"/>
  <c r="AC273" i="5" s="1"/>
  <c r="AB273" i="5" a="1"/>
  <c r="AB273" i="5" s="1"/>
  <c r="AA273" i="5" a="1"/>
  <c r="AA273" i="5" s="1"/>
  <c r="Z273" i="5" a="1"/>
  <c r="Z273" i="5" s="1"/>
  <c r="Y273" i="5" a="1"/>
  <c r="Y273" i="5" s="1"/>
  <c r="X273" i="5" a="1"/>
  <c r="X273" i="5" s="1"/>
  <c r="W273" i="5" a="1"/>
  <c r="W273" i="5" s="1"/>
  <c r="V273" i="5" a="1"/>
  <c r="V273" i="5" s="1"/>
  <c r="U273" i="5" a="1"/>
  <c r="U273" i="5" s="1"/>
  <c r="T273" i="5" a="1"/>
  <c r="T273" i="5" s="1"/>
  <c r="R273" i="5"/>
  <c r="P273" i="5"/>
  <c r="AZ272" i="5" a="1"/>
  <c r="AZ272" i="5" s="1"/>
  <c r="AY272" i="5" a="1"/>
  <c r="AY272" i="5" s="1"/>
  <c r="AX272" i="5" a="1"/>
  <c r="AX272" i="5" s="1"/>
  <c r="AW272" i="5" a="1"/>
  <c r="AW272" i="5" s="1"/>
  <c r="AV272" i="5" a="1"/>
  <c r="AV272" i="5" s="1"/>
  <c r="AU272" i="5" a="1"/>
  <c r="AU272" i="5" s="1"/>
  <c r="AT272" i="5" a="1"/>
  <c r="AT272" i="5" s="1"/>
  <c r="AS272" i="5" a="1"/>
  <c r="AS272" i="5" s="1"/>
  <c r="AR272" i="5" a="1"/>
  <c r="AR272" i="5" s="1"/>
  <c r="AQ272" i="5" a="1"/>
  <c r="AQ272" i="5" s="1"/>
  <c r="AP272" i="5" a="1"/>
  <c r="AP272" i="5" s="1"/>
  <c r="AO272" i="5" a="1"/>
  <c r="AO272" i="5" s="1"/>
  <c r="AN272" i="5" a="1"/>
  <c r="AN272" i="5" s="1"/>
  <c r="AM272" i="5" a="1"/>
  <c r="AM272" i="5" s="1"/>
  <c r="AL272" i="5" a="1"/>
  <c r="AL272" i="5" s="1"/>
  <c r="AK272" i="5" a="1"/>
  <c r="AK272" i="5" s="1"/>
  <c r="AJ272" i="5" a="1"/>
  <c r="AJ272" i="5" s="1"/>
  <c r="AI272" i="5" a="1"/>
  <c r="AI272" i="5" s="1"/>
  <c r="AH272" i="5" a="1"/>
  <c r="AH272" i="5" s="1"/>
  <c r="AG272" i="5" a="1"/>
  <c r="AG272" i="5" s="1"/>
  <c r="AF272" i="5" a="1"/>
  <c r="AF272" i="5" s="1"/>
  <c r="AE272" i="5" a="1"/>
  <c r="AE272" i="5" s="1"/>
  <c r="AD272" i="5" a="1"/>
  <c r="AD272" i="5" s="1"/>
  <c r="AC272" i="5" a="1"/>
  <c r="AC272" i="5" s="1"/>
  <c r="AB272" i="5" a="1"/>
  <c r="AB272" i="5" s="1"/>
  <c r="AA272" i="5" a="1"/>
  <c r="AA272" i="5" s="1"/>
  <c r="Z272" i="5" a="1"/>
  <c r="Z272" i="5" s="1"/>
  <c r="Y272" i="5" a="1"/>
  <c r="Y272" i="5" s="1"/>
  <c r="X272" i="5" a="1"/>
  <c r="X272" i="5" s="1"/>
  <c r="W272" i="5" a="1"/>
  <c r="W272" i="5" s="1"/>
  <c r="V272" i="5" a="1"/>
  <c r="V272" i="5" s="1"/>
  <c r="U272" i="5" a="1"/>
  <c r="U272" i="5" s="1"/>
  <c r="T272" i="5" a="1"/>
  <c r="T272" i="5" s="1"/>
  <c r="R272" i="5"/>
  <c r="P272" i="5"/>
  <c r="AZ271" i="5" a="1"/>
  <c r="AZ271" i="5" s="1"/>
  <c r="AY271" i="5" a="1"/>
  <c r="AY271" i="5" s="1"/>
  <c r="AX271" i="5" a="1"/>
  <c r="AX271" i="5" s="1"/>
  <c r="AW271" i="5" a="1"/>
  <c r="AW271" i="5" s="1"/>
  <c r="AV271" i="5" a="1"/>
  <c r="AV271" i="5" s="1"/>
  <c r="AU271" i="5" a="1"/>
  <c r="AU271" i="5" s="1"/>
  <c r="AT271" i="5" a="1"/>
  <c r="AT271" i="5" s="1"/>
  <c r="AS271" i="5" a="1"/>
  <c r="AS271" i="5" s="1"/>
  <c r="AR271" i="5" a="1"/>
  <c r="AR271" i="5" s="1"/>
  <c r="AQ271" i="5" a="1"/>
  <c r="AQ271" i="5" s="1"/>
  <c r="AP271" i="5" a="1"/>
  <c r="AP271" i="5" s="1"/>
  <c r="AO271" i="5" a="1"/>
  <c r="AO271" i="5" s="1"/>
  <c r="AN271" i="5" a="1"/>
  <c r="AN271" i="5" s="1"/>
  <c r="AM271" i="5" a="1"/>
  <c r="AM271" i="5" s="1"/>
  <c r="AL271" i="5" a="1"/>
  <c r="AL271" i="5" s="1"/>
  <c r="AK271" i="5" a="1"/>
  <c r="AK271" i="5" s="1"/>
  <c r="AJ271" i="5" a="1"/>
  <c r="AJ271" i="5" s="1"/>
  <c r="AI271" i="5" a="1"/>
  <c r="AI271" i="5" s="1"/>
  <c r="AH271" i="5" a="1"/>
  <c r="AH271" i="5" s="1"/>
  <c r="AG271" i="5" a="1"/>
  <c r="AG271" i="5" s="1"/>
  <c r="AF271" i="5" a="1"/>
  <c r="AF271" i="5" s="1"/>
  <c r="AE271" i="5" a="1"/>
  <c r="AE271" i="5" s="1"/>
  <c r="AD271" i="5" a="1"/>
  <c r="AD271" i="5" s="1"/>
  <c r="AC271" i="5" a="1"/>
  <c r="AC271" i="5" s="1"/>
  <c r="AB271" i="5" a="1"/>
  <c r="AB271" i="5" s="1"/>
  <c r="AA271" i="5" a="1"/>
  <c r="AA271" i="5" s="1"/>
  <c r="Z271" i="5" a="1"/>
  <c r="Z271" i="5" s="1"/>
  <c r="Y271" i="5" a="1"/>
  <c r="Y271" i="5" s="1"/>
  <c r="X271" i="5" a="1"/>
  <c r="X271" i="5" s="1"/>
  <c r="W271" i="5" a="1"/>
  <c r="W271" i="5" s="1"/>
  <c r="V271" i="5" a="1"/>
  <c r="V271" i="5" s="1"/>
  <c r="U271" i="5" a="1"/>
  <c r="U271" i="5" s="1"/>
  <c r="T271" i="5" a="1"/>
  <c r="T271" i="5" s="1"/>
  <c r="R271" i="5"/>
  <c r="P271" i="5"/>
  <c r="AY270" i="5" a="1"/>
  <c r="AY270" i="5" s="1"/>
  <c r="AX270" i="5" a="1"/>
  <c r="AX270" i="5" s="1"/>
  <c r="AU270" i="5" a="1"/>
  <c r="AU270" i="5" s="1"/>
  <c r="AR270" i="5" a="1"/>
  <c r="AR270" i="5" s="1"/>
  <c r="AP270" i="5" a="1"/>
  <c r="AP270" i="5" s="1"/>
  <c r="AO270" i="5" a="1"/>
  <c r="AO270" i="5" s="1"/>
  <c r="AN270" i="5" a="1"/>
  <c r="AN270" i="5" s="1"/>
  <c r="AM270" i="5" a="1"/>
  <c r="AM270" i="5" s="1"/>
  <c r="AL270" i="5" a="1"/>
  <c r="AL270" i="5" s="1"/>
  <c r="AK270" i="5" a="1"/>
  <c r="AK270" i="5" s="1"/>
  <c r="AG270" i="5" a="1"/>
  <c r="AG270" i="5" s="1"/>
  <c r="AE270" i="5" a="1"/>
  <c r="AE270" i="5" s="1"/>
  <c r="AC270" i="5" a="1"/>
  <c r="AC270" i="5" s="1"/>
  <c r="AA270" i="5" a="1"/>
  <c r="AA270" i="5" s="1"/>
  <c r="Z270" i="5" a="1"/>
  <c r="Z270" i="5" s="1"/>
  <c r="X270" i="5" a="1"/>
  <c r="X270" i="5" s="1"/>
  <c r="W270" i="5" a="1"/>
  <c r="W270" i="5" s="1"/>
  <c r="R270" i="5"/>
  <c r="P270" i="5"/>
  <c r="AB270" i="5" s="1" a="1"/>
  <c r="AB270" i="5" s="1"/>
  <c r="AG269" i="5" a="1"/>
  <c r="AG269" i="5" s="1"/>
  <c r="R269" i="5"/>
  <c r="P269" i="5"/>
  <c r="AN269" i="5" s="1" a="1"/>
  <c r="AN269" i="5" s="1"/>
  <c r="R268" i="5"/>
  <c r="E261" i="5"/>
  <c r="AZ260" i="5" a="1"/>
  <c r="AZ260" i="5" s="1"/>
  <c r="AY260" i="5" a="1"/>
  <c r="AY260" i="5" s="1"/>
  <c r="AX260" i="5" a="1"/>
  <c r="AX260" i="5" s="1"/>
  <c r="AW260" i="5" a="1"/>
  <c r="AW260" i="5" s="1"/>
  <c r="AV260" i="5" a="1"/>
  <c r="AV260" i="5" s="1"/>
  <c r="AU260" i="5" a="1"/>
  <c r="AU260" i="5" s="1"/>
  <c r="AT260" i="5" a="1"/>
  <c r="AT260" i="5" s="1"/>
  <c r="AS260" i="5" a="1"/>
  <c r="AS260" i="5" s="1"/>
  <c r="AR260" i="5" a="1"/>
  <c r="AR260" i="5" s="1"/>
  <c r="AQ260" i="5" a="1"/>
  <c r="AQ260" i="5" s="1"/>
  <c r="AP260" i="5" a="1"/>
  <c r="AP260" i="5" s="1"/>
  <c r="AO260" i="5" a="1"/>
  <c r="AO260" i="5" s="1"/>
  <c r="AN260" i="5" a="1"/>
  <c r="AN260" i="5" s="1"/>
  <c r="AM260" i="5" a="1"/>
  <c r="AM260" i="5" s="1"/>
  <c r="AL260" i="5" a="1"/>
  <c r="AL260" i="5" s="1"/>
  <c r="AK260" i="5" a="1"/>
  <c r="AK260" i="5" s="1"/>
  <c r="AJ260" i="5" a="1"/>
  <c r="AJ260" i="5" s="1"/>
  <c r="AI260" i="5" a="1"/>
  <c r="AI260" i="5" s="1"/>
  <c r="AH260" i="5" a="1"/>
  <c r="AH260" i="5" s="1"/>
  <c r="AG260" i="5" a="1"/>
  <c r="AG260" i="5" s="1"/>
  <c r="AF260" i="5" a="1"/>
  <c r="AF260" i="5" s="1"/>
  <c r="AE260" i="5" a="1"/>
  <c r="AE260" i="5" s="1"/>
  <c r="AD260" i="5" a="1"/>
  <c r="AD260" i="5" s="1"/>
  <c r="AC260" i="5" a="1"/>
  <c r="AC260" i="5" s="1"/>
  <c r="AB260" i="5" a="1"/>
  <c r="AB260" i="5" s="1"/>
  <c r="AA260" i="5" a="1"/>
  <c r="AA260" i="5" s="1"/>
  <c r="Z260" i="5" a="1"/>
  <c r="Z260" i="5" s="1"/>
  <c r="Y260" i="5" a="1"/>
  <c r="Y260" i="5" s="1"/>
  <c r="X260" i="5" a="1"/>
  <c r="X260" i="5" s="1"/>
  <c r="W260" i="5" a="1"/>
  <c r="W260" i="5" s="1"/>
  <c r="V260" i="5" a="1"/>
  <c r="V260" i="5" s="1"/>
  <c r="U260" i="5" a="1"/>
  <c r="U260" i="5" s="1"/>
  <c r="T260" i="5" a="1"/>
  <c r="T260" i="5" s="1"/>
  <c r="R260" i="5"/>
  <c r="P260" i="5"/>
  <c r="R255" i="5"/>
  <c r="G255" i="5" s="1"/>
  <c r="H255" i="5" s="1"/>
  <c r="E248" i="5"/>
  <c r="AZ247" i="5" a="1"/>
  <c r="AZ247" i="5" s="1"/>
  <c r="AY247" i="5" a="1"/>
  <c r="AY247" i="5" s="1"/>
  <c r="AX247" i="5" a="1"/>
  <c r="AX247" i="5" s="1"/>
  <c r="AW247" i="5" a="1"/>
  <c r="AW247" i="5" s="1"/>
  <c r="AV247" i="5" a="1"/>
  <c r="AV247" i="5" s="1"/>
  <c r="AU247" i="5" a="1"/>
  <c r="AU247" i="5" s="1"/>
  <c r="AT247" i="5" a="1"/>
  <c r="AT247" i="5" s="1"/>
  <c r="AS247" i="5" a="1"/>
  <c r="AS247" i="5" s="1"/>
  <c r="AR247" i="5" a="1"/>
  <c r="AR247" i="5" s="1"/>
  <c r="AQ247" i="5" a="1"/>
  <c r="AQ247" i="5" s="1"/>
  <c r="AP247" i="5" a="1"/>
  <c r="AP247" i="5" s="1"/>
  <c r="AO247" i="5" a="1"/>
  <c r="AO247" i="5" s="1"/>
  <c r="AN247" i="5" a="1"/>
  <c r="AN247" i="5" s="1"/>
  <c r="AM247" i="5" a="1"/>
  <c r="AM247" i="5" s="1"/>
  <c r="AL247" i="5" a="1"/>
  <c r="AL247" i="5" s="1"/>
  <c r="AK247" i="5" a="1"/>
  <c r="AK247" i="5" s="1"/>
  <c r="AJ247" i="5" a="1"/>
  <c r="AJ247" i="5" s="1"/>
  <c r="AI247" i="5" a="1"/>
  <c r="AI247" i="5" s="1"/>
  <c r="AH247" i="5" a="1"/>
  <c r="AH247" i="5" s="1"/>
  <c r="AG247" i="5" a="1"/>
  <c r="AG247" i="5" s="1"/>
  <c r="AF247" i="5" a="1"/>
  <c r="AF247" i="5" s="1"/>
  <c r="AE247" i="5" a="1"/>
  <c r="AE247" i="5" s="1"/>
  <c r="AD247" i="5" a="1"/>
  <c r="AD247" i="5" s="1"/>
  <c r="AC247" i="5" a="1"/>
  <c r="AC247" i="5" s="1"/>
  <c r="AB247" i="5" a="1"/>
  <c r="AB247" i="5" s="1"/>
  <c r="AA247" i="5" a="1"/>
  <c r="AA247" i="5" s="1"/>
  <c r="Z247" i="5" a="1"/>
  <c r="Z247" i="5" s="1"/>
  <c r="Y247" i="5" a="1"/>
  <c r="Y247" i="5" s="1"/>
  <c r="X247" i="5" a="1"/>
  <c r="X247" i="5" s="1"/>
  <c r="W247" i="5" a="1"/>
  <c r="W247" i="5" s="1"/>
  <c r="V247" i="5" a="1"/>
  <c r="V247" i="5" s="1"/>
  <c r="U247" i="5" a="1"/>
  <c r="U247" i="5" s="1"/>
  <c r="T247" i="5" a="1"/>
  <c r="T247" i="5" s="1"/>
  <c r="R247" i="5"/>
  <c r="P247" i="5"/>
  <c r="AZ246" i="5" a="1"/>
  <c r="AZ246" i="5" s="1"/>
  <c r="AY246" i="5" a="1"/>
  <c r="AY246" i="5" s="1"/>
  <c r="AX246" i="5" a="1"/>
  <c r="AX246" i="5" s="1"/>
  <c r="AW246" i="5" a="1"/>
  <c r="AW246" i="5" s="1"/>
  <c r="AV246" i="5" a="1"/>
  <c r="AV246" i="5" s="1"/>
  <c r="AU246" i="5" a="1"/>
  <c r="AU246" i="5" s="1"/>
  <c r="AT246" i="5" a="1"/>
  <c r="AT246" i="5" s="1"/>
  <c r="AS246" i="5" a="1"/>
  <c r="AS246" i="5" s="1"/>
  <c r="AR246" i="5" a="1"/>
  <c r="AR246" i="5" s="1"/>
  <c r="AQ246" i="5" a="1"/>
  <c r="AQ246" i="5" s="1"/>
  <c r="AP246" i="5" a="1"/>
  <c r="AP246" i="5" s="1"/>
  <c r="AO246" i="5" a="1"/>
  <c r="AO246" i="5" s="1"/>
  <c r="AN246" i="5" a="1"/>
  <c r="AN246" i="5" s="1"/>
  <c r="AM246" i="5" a="1"/>
  <c r="AM246" i="5" s="1"/>
  <c r="AL246" i="5" a="1"/>
  <c r="AL246" i="5" s="1"/>
  <c r="AK246" i="5" a="1"/>
  <c r="AK246" i="5" s="1"/>
  <c r="AJ246" i="5" a="1"/>
  <c r="AJ246" i="5" s="1"/>
  <c r="AI246" i="5" a="1"/>
  <c r="AI246" i="5" s="1"/>
  <c r="AH246" i="5" a="1"/>
  <c r="AH246" i="5" s="1"/>
  <c r="AG246" i="5" a="1"/>
  <c r="AG246" i="5" s="1"/>
  <c r="AF246" i="5" a="1"/>
  <c r="AF246" i="5" s="1"/>
  <c r="AE246" i="5" a="1"/>
  <c r="AE246" i="5" s="1"/>
  <c r="AD246" i="5" a="1"/>
  <c r="AD246" i="5" s="1"/>
  <c r="AC246" i="5" a="1"/>
  <c r="AC246" i="5" s="1"/>
  <c r="AB246" i="5" a="1"/>
  <c r="AB246" i="5" s="1"/>
  <c r="AA246" i="5" a="1"/>
  <c r="AA246" i="5" s="1"/>
  <c r="Z246" i="5" a="1"/>
  <c r="Z246" i="5" s="1"/>
  <c r="Y246" i="5" a="1"/>
  <c r="Y246" i="5" s="1"/>
  <c r="X246" i="5" a="1"/>
  <c r="X246" i="5" s="1"/>
  <c r="W246" i="5" a="1"/>
  <c r="W246" i="5" s="1"/>
  <c r="V246" i="5" a="1"/>
  <c r="V246" i="5" s="1"/>
  <c r="U246" i="5" a="1"/>
  <c r="U246" i="5" s="1"/>
  <c r="T246" i="5" a="1"/>
  <c r="T246" i="5" s="1"/>
  <c r="R246" i="5"/>
  <c r="P246" i="5"/>
  <c r="AZ245" i="5" a="1"/>
  <c r="AZ245" i="5" s="1"/>
  <c r="AY245" i="5" a="1"/>
  <c r="AY245" i="5" s="1"/>
  <c r="AX245" i="5" a="1"/>
  <c r="AX245" i="5" s="1"/>
  <c r="AW245" i="5" a="1"/>
  <c r="AW245" i="5" s="1"/>
  <c r="AV245" i="5" a="1"/>
  <c r="AV245" i="5" s="1"/>
  <c r="AU245" i="5" a="1"/>
  <c r="AU245" i="5" s="1"/>
  <c r="AT245" i="5" a="1"/>
  <c r="AT245" i="5" s="1"/>
  <c r="AS245" i="5" a="1"/>
  <c r="AS245" i="5" s="1"/>
  <c r="AR245" i="5" a="1"/>
  <c r="AR245" i="5" s="1"/>
  <c r="AQ245" i="5" a="1"/>
  <c r="AQ245" i="5" s="1"/>
  <c r="AP245" i="5" a="1"/>
  <c r="AP245" i="5" s="1"/>
  <c r="AO245" i="5" a="1"/>
  <c r="AO245" i="5" s="1"/>
  <c r="AN245" i="5" a="1"/>
  <c r="AN245" i="5" s="1"/>
  <c r="AM245" i="5" a="1"/>
  <c r="AM245" i="5" s="1"/>
  <c r="AL245" i="5" a="1"/>
  <c r="AL245" i="5" s="1"/>
  <c r="AK245" i="5" a="1"/>
  <c r="AK245" i="5" s="1"/>
  <c r="AJ245" i="5" a="1"/>
  <c r="AJ245" i="5" s="1"/>
  <c r="AI245" i="5" a="1"/>
  <c r="AI245" i="5" s="1"/>
  <c r="AH245" i="5" a="1"/>
  <c r="AH245" i="5" s="1"/>
  <c r="AG245" i="5" a="1"/>
  <c r="AG245" i="5" s="1"/>
  <c r="AF245" i="5" a="1"/>
  <c r="AF245" i="5" s="1"/>
  <c r="AE245" i="5" a="1"/>
  <c r="AE245" i="5" s="1"/>
  <c r="AD245" i="5" a="1"/>
  <c r="AD245" i="5" s="1"/>
  <c r="AC245" i="5" a="1"/>
  <c r="AC245" i="5" s="1"/>
  <c r="AB245" i="5" a="1"/>
  <c r="AB245" i="5" s="1"/>
  <c r="AA245" i="5" a="1"/>
  <c r="AA245" i="5" s="1"/>
  <c r="Z245" i="5" a="1"/>
  <c r="Z245" i="5" s="1"/>
  <c r="Y245" i="5" a="1"/>
  <c r="Y245" i="5" s="1"/>
  <c r="X245" i="5" a="1"/>
  <c r="X245" i="5" s="1"/>
  <c r="W245" i="5" a="1"/>
  <c r="W245" i="5" s="1"/>
  <c r="V245" i="5" a="1"/>
  <c r="V245" i="5" s="1"/>
  <c r="U245" i="5" a="1"/>
  <c r="U245" i="5" s="1"/>
  <c r="T245" i="5" a="1"/>
  <c r="T245" i="5" s="1"/>
  <c r="R245" i="5"/>
  <c r="P245" i="5"/>
  <c r="AZ244" i="5" a="1"/>
  <c r="AZ244" i="5" s="1"/>
  <c r="AY244" i="5" a="1"/>
  <c r="AY244" i="5" s="1"/>
  <c r="AX244" i="5" a="1"/>
  <c r="AX244" i="5" s="1"/>
  <c r="AW244" i="5" a="1"/>
  <c r="AW244" i="5" s="1"/>
  <c r="AV244" i="5" a="1"/>
  <c r="AV244" i="5" s="1"/>
  <c r="AU244" i="5" a="1"/>
  <c r="AU244" i="5" s="1"/>
  <c r="AT244" i="5" a="1"/>
  <c r="AT244" i="5" s="1"/>
  <c r="AS244" i="5" a="1"/>
  <c r="AS244" i="5" s="1"/>
  <c r="AR244" i="5" a="1"/>
  <c r="AR244" i="5" s="1"/>
  <c r="AQ244" i="5" a="1"/>
  <c r="AQ244" i="5" s="1"/>
  <c r="AP244" i="5" a="1"/>
  <c r="AP244" i="5" s="1"/>
  <c r="AO244" i="5" a="1"/>
  <c r="AO244" i="5" s="1"/>
  <c r="AN244" i="5" a="1"/>
  <c r="AN244" i="5" s="1"/>
  <c r="AM244" i="5" a="1"/>
  <c r="AM244" i="5" s="1"/>
  <c r="AL244" i="5" a="1"/>
  <c r="AL244" i="5" s="1"/>
  <c r="AK244" i="5" a="1"/>
  <c r="AK244" i="5" s="1"/>
  <c r="AJ244" i="5" a="1"/>
  <c r="AJ244" i="5" s="1"/>
  <c r="AI244" i="5" a="1"/>
  <c r="AI244" i="5" s="1"/>
  <c r="AH244" i="5" a="1"/>
  <c r="AH244" i="5" s="1"/>
  <c r="AG244" i="5" a="1"/>
  <c r="AG244" i="5" s="1"/>
  <c r="AF244" i="5" a="1"/>
  <c r="AF244" i="5" s="1"/>
  <c r="AE244" i="5" a="1"/>
  <c r="AE244" i="5" s="1"/>
  <c r="AD244" i="5" a="1"/>
  <c r="AD244" i="5" s="1"/>
  <c r="AC244" i="5" a="1"/>
  <c r="AC244" i="5" s="1"/>
  <c r="AB244" i="5" a="1"/>
  <c r="AB244" i="5" s="1"/>
  <c r="AA244" i="5" a="1"/>
  <c r="AA244" i="5" s="1"/>
  <c r="Z244" i="5" a="1"/>
  <c r="Z244" i="5" s="1"/>
  <c r="Y244" i="5" a="1"/>
  <c r="Y244" i="5" s="1"/>
  <c r="X244" i="5" a="1"/>
  <c r="X244" i="5" s="1"/>
  <c r="W244" i="5" a="1"/>
  <c r="W244" i="5" s="1"/>
  <c r="V244" i="5" a="1"/>
  <c r="V244" i="5" s="1"/>
  <c r="U244" i="5" a="1"/>
  <c r="U244" i="5" s="1"/>
  <c r="T244" i="5" a="1"/>
  <c r="T244" i="5" s="1"/>
  <c r="R244" i="5"/>
  <c r="P244" i="5"/>
  <c r="AZ243" i="5" a="1"/>
  <c r="AZ243" i="5" s="1"/>
  <c r="AY243" i="5" a="1"/>
  <c r="AY243" i="5" s="1"/>
  <c r="AX243" i="5" a="1"/>
  <c r="AX243" i="5" s="1"/>
  <c r="AW243" i="5" a="1"/>
  <c r="AW243" i="5" s="1"/>
  <c r="AV243" i="5" a="1"/>
  <c r="AV243" i="5" s="1"/>
  <c r="AU243" i="5" a="1"/>
  <c r="AU243" i="5" s="1"/>
  <c r="AT243" i="5" a="1"/>
  <c r="AT243" i="5" s="1"/>
  <c r="AS243" i="5" a="1"/>
  <c r="AS243" i="5" s="1"/>
  <c r="AR243" i="5" a="1"/>
  <c r="AR243" i="5" s="1"/>
  <c r="AQ243" i="5" a="1"/>
  <c r="AQ243" i="5" s="1"/>
  <c r="AP243" i="5" a="1"/>
  <c r="AP243" i="5" s="1"/>
  <c r="AO243" i="5" a="1"/>
  <c r="AO243" i="5" s="1"/>
  <c r="AN243" i="5" a="1"/>
  <c r="AN243" i="5" s="1"/>
  <c r="AM243" i="5" a="1"/>
  <c r="AM243" i="5" s="1"/>
  <c r="AL243" i="5" a="1"/>
  <c r="AL243" i="5" s="1"/>
  <c r="AK243" i="5" a="1"/>
  <c r="AK243" i="5" s="1"/>
  <c r="AJ243" i="5" a="1"/>
  <c r="AJ243" i="5" s="1"/>
  <c r="AI243" i="5" a="1"/>
  <c r="AI243" i="5" s="1"/>
  <c r="AH243" i="5" a="1"/>
  <c r="AH243" i="5" s="1"/>
  <c r="AG243" i="5" a="1"/>
  <c r="AG243" i="5" s="1"/>
  <c r="AF243" i="5" a="1"/>
  <c r="AF243" i="5" s="1"/>
  <c r="AE243" i="5" a="1"/>
  <c r="AE243" i="5" s="1"/>
  <c r="AD243" i="5" a="1"/>
  <c r="AD243" i="5" s="1"/>
  <c r="AC243" i="5" a="1"/>
  <c r="AC243" i="5" s="1"/>
  <c r="AB243" i="5" a="1"/>
  <c r="AB243" i="5" s="1"/>
  <c r="AA243" i="5" a="1"/>
  <c r="AA243" i="5" s="1"/>
  <c r="Z243" i="5" a="1"/>
  <c r="Z243" i="5" s="1"/>
  <c r="Y243" i="5" a="1"/>
  <c r="Y243" i="5" s="1"/>
  <c r="X243" i="5" a="1"/>
  <c r="X243" i="5" s="1"/>
  <c r="W243" i="5" a="1"/>
  <c r="W243" i="5" s="1"/>
  <c r="V243" i="5" a="1"/>
  <c r="V243" i="5" s="1"/>
  <c r="U243" i="5" a="1"/>
  <c r="U243" i="5" s="1"/>
  <c r="T243" i="5" a="1"/>
  <c r="T243" i="5" s="1"/>
  <c r="R243" i="5"/>
  <c r="P243" i="5"/>
  <c r="R242" i="5"/>
  <c r="E235" i="5"/>
  <c r="AZ234" i="5" a="1"/>
  <c r="AZ234" i="5" s="1"/>
  <c r="AY234" i="5" a="1"/>
  <c r="AY234" i="5" s="1"/>
  <c r="AX234" i="5" a="1"/>
  <c r="AX234" i="5" s="1"/>
  <c r="AW234" i="5" a="1"/>
  <c r="AW234" i="5" s="1"/>
  <c r="AV234" i="5" a="1"/>
  <c r="AV234" i="5" s="1"/>
  <c r="AU234" i="5" a="1"/>
  <c r="AU234" i="5" s="1"/>
  <c r="AT234" i="5" a="1"/>
  <c r="AT234" i="5" s="1"/>
  <c r="AS234" i="5" a="1"/>
  <c r="AS234" i="5" s="1"/>
  <c r="AR234" i="5" a="1"/>
  <c r="AR234" i="5" s="1"/>
  <c r="AQ234" i="5" a="1"/>
  <c r="AQ234" i="5" s="1"/>
  <c r="AP234" i="5" a="1"/>
  <c r="AP234" i="5" s="1"/>
  <c r="AO234" i="5" a="1"/>
  <c r="AO234" i="5" s="1"/>
  <c r="AN234" i="5" a="1"/>
  <c r="AN234" i="5" s="1"/>
  <c r="AM234" i="5" a="1"/>
  <c r="AM234" i="5" s="1"/>
  <c r="AL234" i="5" a="1"/>
  <c r="AL234" i="5" s="1"/>
  <c r="AK234" i="5" a="1"/>
  <c r="AK234" i="5" s="1"/>
  <c r="AJ234" i="5" a="1"/>
  <c r="AJ234" i="5" s="1"/>
  <c r="AI234" i="5" a="1"/>
  <c r="AI234" i="5" s="1"/>
  <c r="AH234" i="5" a="1"/>
  <c r="AH234" i="5" s="1"/>
  <c r="AG234" i="5" a="1"/>
  <c r="AG234" i="5" s="1"/>
  <c r="AF234" i="5" a="1"/>
  <c r="AF234" i="5" s="1"/>
  <c r="AE234" i="5" a="1"/>
  <c r="AE234" i="5" s="1"/>
  <c r="AD234" i="5" a="1"/>
  <c r="AD234" i="5" s="1"/>
  <c r="AC234" i="5" a="1"/>
  <c r="AC234" i="5" s="1"/>
  <c r="AB234" i="5" a="1"/>
  <c r="AB234" i="5" s="1"/>
  <c r="AA234" i="5" a="1"/>
  <c r="AA234" i="5" s="1"/>
  <c r="Z234" i="5" a="1"/>
  <c r="Z234" i="5" s="1"/>
  <c r="Y234" i="5" a="1"/>
  <c r="Y234" i="5" s="1"/>
  <c r="X234" i="5" a="1"/>
  <c r="X234" i="5" s="1"/>
  <c r="W234" i="5" a="1"/>
  <c r="W234" i="5" s="1"/>
  <c r="V234" i="5" a="1"/>
  <c r="V234" i="5" s="1"/>
  <c r="U234" i="5" a="1"/>
  <c r="U234" i="5" s="1"/>
  <c r="T234" i="5" a="1"/>
  <c r="T234" i="5" s="1"/>
  <c r="R234" i="5"/>
  <c r="P234" i="5"/>
  <c r="AZ233" i="5" a="1"/>
  <c r="AZ233" i="5" s="1"/>
  <c r="AY233" i="5" a="1"/>
  <c r="AY233" i="5" s="1"/>
  <c r="AX233" i="5" a="1"/>
  <c r="AX233" i="5" s="1"/>
  <c r="AW233" i="5" a="1"/>
  <c r="AW233" i="5" s="1"/>
  <c r="AV233" i="5" a="1"/>
  <c r="AV233" i="5" s="1"/>
  <c r="AU233" i="5" a="1"/>
  <c r="AU233" i="5" s="1"/>
  <c r="AT233" i="5" a="1"/>
  <c r="AT233" i="5" s="1"/>
  <c r="AS233" i="5" a="1"/>
  <c r="AS233" i="5" s="1"/>
  <c r="AR233" i="5" a="1"/>
  <c r="AR233" i="5" s="1"/>
  <c r="AQ233" i="5" a="1"/>
  <c r="AQ233" i="5" s="1"/>
  <c r="AP233" i="5" a="1"/>
  <c r="AP233" i="5" s="1"/>
  <c r="AO233" i="5" a="1"/>
  <c r="AO233" i="5" s="1"/>
  <c r="AN233" i="5" a="1"/>
  <c r="AN233" i="5" s="1"/>
  <c r="AM233" i="5" a="1"/>
  <c r="AM233" i="5" s="1"/>
  <c r="AL233" i="5" a="1"/>
  <c r="AL233" i="5" s="1"/>
  <c r="AK233" i="5" a="1"/>
  <c r="AK233" i="5" s="1"/>
  <c r="AJ233" i="5" a="1"/>
  <c r="AJ233" i="5" s="1"/>
  <c r="AI233" i="5" a="1"/>
  <c r="AI233" i="5" s="1"/>
  <c r="AH233" i="5" a="1"/>
  <c r="AH233" i="5" s="1"/>
  <c r="AG233" i="5" a="1"/>
  <c r="AG233" i="5" s="1"/>
  <c r="AF233" i="5" a="1"/>
  <c r="AF233" i="5" s="1"/>
  <c r="AE233" i="5" a="1"/>
  <c r="AE233" i="5" s="1"/>
  <c r="AD233" i="5" a="1"/>
  <c r="AD233" i="5" s="1"/>
  <c r="AC233" i="5" a="1"/>
  <c r="AC233" i="5" s="1"/>
  <c r="AB233" i="5" a="1"/>
  <c r="AB233" i="5" s="1"/>
  <c r="AA233" i="5" a="1"/>
  <c r="AA233" i="5" s="1"/>
  <c r="Z233" i="5" a="1"/>
  <c r="Z233" i="5" s="1"/>
  <c r="Y233" i="5" a="1"/>
  <c r="Y233" i="5" s="1"/>
  <c r="X233" i="5" a="1"/>
  <c r="X233" i="5" s="1"/>
  <c r="W233" i="5" a="1"/>
  <c r="W233" i="5" s="1"/>
  <c r="V233" i="5" a="1"/>
  <c r="V233" i="5" s="1"/>
  <c r="U233" i="5" a="1"/>
  <c r="U233" i="5" s="1"/>
  <c r="T233" i="5" a="1"/>
  <c r="T233" i="5" s="1"/>
  <c r="R233" i="5"/>
  <c r="P233" i="5"/>
  <c r="AZ232" i="5" a="1"/>
  <c r="AZ232" i="5" s="1"/>
  <c r="AY232" i="5" a="1"/>
  <c r="AY232" i="5" s="1"/>
  <c r="AX232" i="5" a="1"/>
  <c r="AX232" i="5" s="1"/>
  <c r="AW232" i="5" a="1"/>
  <c r="AW232" i="5" s="1"/>
  <c r="AV232" i="5" a="1"/>
  <c r="AV232" i="5" s="1"/>
  <c r="AU232" i="5" a="1"/>
  <c r="AU232" i="5" s="1"/>
  <c r="AT232" i="5" a="1"/>
  <c r="AT232" i="5" s="1"/>
  <c r="AS232" i="5" a="1"/>
  <c r="AS232" i="5" s="1"/>
  <c r="AR232" i="5" a="1"/>
  <c r="AR232" i="5" s="1"/>
  <c r="AQ232" i="5" a="1"/>
  <c r="AQ232" i="5" s="1"/>
  <c r="AP232" i="5" a="1"/>
  <c r="AP232" i="5" s="1"/>
  <c r="AO232" i="5" a="1"/>
  <c r="AO232" i="5" s="1"/>
  <c r="AN232" i="5" a="1"/>
  <c r="AN232" i="5" s="1"/>
  <c r="AM232" i="5" a="1"/>
  <c r="AM232" i="5" s="1"/>
  <c r="AL232" i="5" a="1"/>
  <c r="AL232" i="5" s="1"/>
  <c r="AK232" i="5" a="1"/>
  <c r="AK232" i="5" s="1"/>
  <c r="AJ232" i="5" a="1"/>
  <c r="AJ232" i="5" s="1"/>
  <c r="AI232" i="5" a="1"/>
  <c r="AI232" i="5" s="1"/>
  <c r="AH232" i="5" a="1"/>
  <c r="AH232" i="5" s="1"/>
  <c r="AG232" i="5" a="1"/>
  <c r="AG232" i="5" s="1"/>
  <c r="AF232" i="5" a="1"/>
  <c r="AF232" i="5" s="1"/>
  <c r="AE232" i="5" a="1"/>
  <c r="AE232" i="5" s="1"/>
  <c r="AD232" i="5" a="1"/>
  <c r="AD232" i="5" s="1"/>
  <c r="AC232" i="5" a="1"/>
  <c r="AC232" i="5" s="1"/>
  <c r="AB232" i="5" a="1"/>
  <c r="AB232" i="5" s="1"/>
  <c r="AA232" i="5" a="1"/>
  <c r="AA232" i="5" s="1"/>
  <c r="Z232" i="5" a="1"/>
  <c r="Z232" i="5" s="1"/>
  <c r="Y232" i="5" a="1"/>
  <c r="Y232" i="5" s="1"/>
  <c r="X232" i="5" a="1"/>
  <c r="X232" i="5" s="1"/>
  <c r="W232" i="5" a="1"/>
  <c r="W232" i="5" s="1"/>
  <c r="V232" i="5" a="1"/>
  <c r="V232" i="5" s="1"/>
  <c r="U232" i="5" a="1"/>
  <c r="U232" i="5" s="1"/>
  <c r="T232" i="5" a="1"/>
  <c r="T232" i="5" s="1"/>
  <c r="R232" i="5"/>
  <c r="P232" i="5"/>
  <c r="AV231" i="5" a="1"/>
  <c r="AV231" i="5" s="1"/>
  <c r="AT231" i="5" a="1"/>
  <c r="AT231" i="5" s="1"/>
  <c r="AI231" i="5" a="1"/>
  <c r="AI231" i="5" s="1"/>
  <c r="AF231" i="5" a="1"/>
  <c r="AF231" i="5" s="1"/>
  <c r="AD231" i="5" a="1"/>
  <c r="AD231" i="5" s="1"/>
  <c r="R231" i="5"/>
  <c r="P231" i="5"/>
  <c r="AU231" i="5" s="1" a="1"/>
  <c r="AU231" i="5" s="1"/>
  <c r="AZ230" i="5" a="1"/>
  <c r="AZ230" i="5" s="1"/>
  <c r="AY230" i="5" a="1"/>
  <c r="AY230" i="5" s="1"/>
  <c r="AX230" i="5" a="1"/>
  <c r="AX230" i="5" s="1"/>
  <c r="AW230" i="5" a="1"/>
  <c r="AW230" i="5" s="1"/>
  <c r="AV230" i="5" a="1"/>
  <c r="AV230" i="5" s="1"/>
  <c r="AU230" i="5" a="1"/>
  <c r="AU230" i="5" s="1"/>
  <c r="AT230" i="5" a="1"/>
  <c r="AT230" i="5" s="1"/>
  <c r="AS230" i="5" a="1"/>
  <c r="AS230" i="5" s="1"/>
  <c r="AR230" i="5" a="1"/>
  <c r="AR230" i="5" s="1"/>
  <c r="AQ230" i="5" a="1"/>
  <c r="AQ230" i="5" s="1"/>
  <c r="AP230" i="5" a="1"/>
  <c r="AP230" i="5" s="1"/>
  <c r="AO230" i="5" a="1"/>
  <c r="AO230" i="5" s="1"/>
  <c r="AN230" i="5" a="1"/>
  <c r="AN230" i="5" s="1"/>
  <c r="AM230" i="5" a="1"/>
  <c r="AM230" i="5" s="1"/>
  <c r="AL230" i="5" a="1"/>
  <c r="AL230" i="5" s="1"/>
  <c r="AK230" i="5" a="1"/>
  <c r="AK230" i="5" s="1"/>
  <c r="AJ230" i="5" a="1"/>
  <c r="AJ230" i="5" s="1"/>
  <c r="AI230" i="5" a="1"/>
  <c r="AI230" i="5" s="1"/>
  <c r="AH230" i="5" a="1"/>
  <c r="AH230" i="5" s="1"/>
  <c r="AG230" i="5" a="1"/>
  <c r="AG230" i="5" s="1"/>
  <c r="AF230" i="5" a="1"/>
  <c r="AF230" i="5" s="1"/>
  <c r="AE230" i="5" a="1"/>
  <c r="AE230" i="5" s="1"/>
  <c r="AD230" i="5" a="1"/>
  <c r="AD230" i="5" s="1"/>
  <c r="AC230" i="5" a="1"/>
  <c r="AC230" i="5" s="1"/>
  <c r="AB230" i="5" a="1"/>
  <c r="AB230" i="5" s="1"/>
  <c r="AA230" i="5" a="1"/>
  <c r="AA230" i="5" s="1"/>
  <c r="Z230" i="5" a="1"/>
  <c r="Z230" i="5" s="1"/>
  <c r="Y230" i="5" a="1"/>
  <c r="Y230" i="5" s="1"/>
  <c r="X230" i="5" a="1"/>
  <c r="X230" i="5" s="1"/>
  <c r="W230" i="5" a="1"/>
  <c r="W230" i="5" s="1"/>
  <c r="V230" i="5" a="1"/>
  <c r="V230" i="5" s="1"/>
  <c r="U230" i="5" a="1"/>
  <c r="U230" i="5" s="1"/>
  <c r="T230" i="5" a="1"/>
  <c r="T230" i="5" s="1"/>
  <c r="R230" i="5"/>
  <c r="P230" i="5"/>
  <c r="R229" i="5"/>
  <c r="E222" i="5"/>
  <c r="AZ221" i="5" a="1"/>
  <c r="AZ221" i="5" s="1"/>
  <c r="AY221" i="5" a="1"/>
  <c r="AY221" i="5" s="1"/>
  <c r="AX221" i="5" a="1"/>
  <c r="AX221" i="5" s="1"/>
  <c r="AW221" i="5" a="1"/>
  <c r="AW221" i="5" s="1"/>
  <c r="AV221" i="5" a="1"/>
  <c r="AV221" i="5" s="1"/>
  <c r="AU221" i="5" a="1"/>
  <c r="AU221" i="5" s="1"/>
  <c r="AT221" i="5" a="1"/>
  <c r="AT221" i="5" s="1"/>
  <c r="AS221" i="5" a="1"/>
  <c r="AS221" i="5" s="1"/>
  <c r="AR221" i="5" a="1"/>
  <c r="AR221" i="5" s="1"/>
  <c r="AQ221" i="5" a="1"/>
  <c r="AQ221" i="5" s="1"/>
  <c r="AP221" i="5" a="1"/>
  <c r="AP221" i="5" s="1"/>
  <c r="AO221" i="5" a="1"/>
  <c r="AO221" i="5" s="1"/>
  <c r="AN221" i="5" a="1"/>
  <c r="AN221" i="5" s="1"/>
  <c r="AM221" i="5" a="1"/>
  <c r="AM221" i="5" s="1"/>
  <c r="AL221" i="5" a="1"/>
  <c r="AL221" i="5" s="1"/>
  <c r="AK221" i="5" a="1"/>
  <c r="AK221" i="5" s="1"/>
  <c r="AJ221" i="5" a="1"/>
  <c r="AJ221" i="5" s="1"/>
  <c r="AI221" i="5" a="1"/>
  <c r="AI221" i="5" s="1"/>
  <c r="AH221" i="5" a="1"/>
  <c r="AH221" i="5" s="1"/>
  <c r="AG221" i="5" a="1"/>
  <c r="AG221" i="5" s="1"/>
  <c r="AF221" i="5" a="1"/>
  <c r="AF221" i="5" s="1"/>
  <c r="AE221" i="5" a="1"/>
  <c r="AE221" i="5" s="1"/>
  <c r="AD221" i="5" a="1"/>
  <c r="AD221" i="5" s="1"/>
  <c r="AC221" i="5" a="1"/>
  <c r="AC221" i="5" s="1"/>
  <c r="AB221" i="5" a="1"/>
  <c r="AB221" i="5" s="1"/>
  <c r="AA221" i="5" a="1"/>
  <c r="AA221" i="5" s="1"/>
  <c r="Z221" i="5" a="1"/>
  <c r="Z221" i="5" s="1"/>
  <c r="Y221" i="5" a="1"/>
  <c r="Y221" i="5" s="1"/>
  <c r="X221" i="5" a="1"/>
  <c r="X221" i="5" s="1"/>
  <c r="W221" i="5" a="1"/>
  <c r="W221" i="5" s="1"/>
  <c r="V221" i="5" a="1"/>
  <c r="V221" i="5" s="1"/>
  <c r="U221" i="5" a="1"/>
  <c r="U221" i="5" s="1"/>
  <c r="T221" i="5" a="1"/>
  <c r="T221" i="5" s="1"/>
  <c r="R221" i="5"/>
  <c r="P221" i="5"/>
  <c r="P220" i="5"/>
  <c r="AW220" i="5" s="1" a="1"/>
  <c r="AW220" i="5" s="1"/>
  <c r="P219" i="5"/>
  <c r="AX219" i="5" s="1" a="1"/>
  <c r="AX219" i="5" s="1"/>
  <c r="P218" i="5"/>
  <c r="AY218" i="5" s="1" a="1"/>
  <c r="AY218" i="5" s="1"/>
  <c r="P217" i="5"/>
  <c r="AY217" i="5" s="1" a="1"/>
  <c r="AY217" i="5" s="1"/>
  <c r="R216" i="5"/>
  <c r="G216" i="5" s="1"/>
  <c r="H216" i="5" s="1"/>
  <c r="E209" i="5"/>
  <c r="B199" i="5"/>
  <c r="AV208" i="5" a="1"/>
  <c r="AV208" i="5" s="1"/>
  <c r="AN208" i="5" a="1"/>
  <c r="AN208" i="5" s="1"/>
  <c r="AF208" i="5" a="1"/>
  <c r="AF208" i="5" s="1"/>
  <c r="X208" i="5" a="1"/>
  <c r="X208" i="5" s="1"/>
  <c r="R208" i="5"/>
  <c r="P208" i="5"/>
  <c r="AU208" i="5" s="1" a="1"/>
  <c r="AU208" i="5" s="1"/>
  <c r="P207" i="5"/>
  <c r="AK207" i="5" s="1" a="1"/>
  <c r="AK207" i="5" s="1"/>
  <c r="P206" i="5"/>
  <c r="AT206" i="5" s="1" a="1"/>
  <c r="AT206" i="5" s="1"/>
  <c r="P205" i="5"/>
  <c r="AX205" i="5" s="1" a="1"/>
  <c r="AX205" i="5" s="1"/>
  <c r="P204" i="5"/>
  <c r="AS204" i="5" s="1" a="1"/>
  <c r="AS204" i="5" s="1"/>
  <c r="B186" i="5"/>
  <c r="E196"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E774" i="5"/>
  <c r="D774" i="5"/>
  <c r="E773" i="5"/>
  <c r="D773" i="5"/>
  <c r="E772" i="5"/>
  <c r="D772" i="5"/>
  <c r="E771" i="5"/>
  <c r="D771" i="5"/>
  <c r="E770" i="5"/>
  <c r="D770" i="5"/>
  <c r="E769" i="5"/>
  <c r="D769" i="5"/>
  <c r="E768" i="5"/>
  <c r="D768" i="5"/>
  <c r="E767" i="5"/>
  <c r="D767" i="5"/>
  <c r="E766" i="5"/>
  <c r="D766" i="5"/>
  <c r="E765" i="5"/>
  <c r="D765" i="5"/>
  <c r="E764" i="5"/>
  <c r="D764" i="5"/>
  <c r="E763" i="5"/>
  <c r="D763" i="5"/>
  <c r="E762" i="5"/>
  <c r="D762" i="5"/>
  <c r="E761" i="5"/>
  <c r="D761" i="5"/>
  <c r="E760" i="5"/>
  <c r="D760" i="5"/>
  <c r="E759" i="5"/>
  <c r="D759" i="5"/>
  <c r="E758" i="5"/>
  <c r="D758" i="5"/>
  <c r="E757" i="5"/>
  <c r="D757" i="5"/>
  <c r="E756" i="5"/>
  <c r="D756" i="5"/>
  <c r="E755" i="5"/>
  <c r="D755" i="5"/>
  <c r="E754" i="5"/>
  <c r="D754" i="5"/>
  <c r="E753" i="5"/>
  <c r="D753" i="5"/>
  <c r="E752" i="5"/>
  <c r="D752" i="5"/>
  <c r="E751" i="5"/>
  <c r="D751" i="5"/>
  <c r="C741" i="5"/>
  <c r="C740" i="5"/>
  <c r="E741" i="5"/>
  <c r="D741" i="5"/>
  <c r="E740" i="5"/>
  <c r="D740" i="5"/>
  <c r="C708" i="5"/>
  <c r="C707" i="5"/>
  <c r="C706" i="5"/>
  <c r="C705" i="5"/>
  <c r="E708" i="5"/>
  <c r="D708" i="5"/>
  <c r="E707" i="5"/>
  <c r="D707" i="5"/>
  <c r="E706" i="5"/>
  <c r="D706" i="5"/>
  <c r="E705" i="5"/>
  <c r="D705" i="5"/>
  <c r="C675" i="5"/>
  <c r="E675" i="5"/>
  <c r="D675" i="5"/>
  <c r="C642" i="5"/>
  <c r="C641" i="5"/>
  <c r="C640" i="5"/>
  <c r="C639" i="5"/>
  <c r="C638" i="5"/>
  <c r="C637" i="5"/>
  <c r="C636" i="5"/>
  <c r="C635" i="5"/>
  <c r="E642" i="5"/>
  <c r="D642" i="5"/>
  <c r="E641" i="5"/>
  <c r="D641" i="5"/>
  <c r="E640" i="5"/>
  <c r="D640" i="5"/>
  <c r="E639" i="5"/>
  <c r="D639" i="5"/>
  <c r="E638" i="5"/>
  <c r="D638" i="5"/>
  <c r="E637" i="5"/>
  <c r="D637" i="5"/>
  <c r="E636" i="5"/>
  <c r="D636" i="5"/>
  <c r="E635" i="5"/>
  <c r="D635" i="5"/>
  <c r="C609" i="5"/>
  <c r="D609" i="5"/>
  <c r="E609" i="5"/>
  <c r="E576" i="5"/>
  <c r="D576" i="5"/>
  <c r="C576" i="5"/>
  <c r="R195" i="5" s="1"/>
  <c r="G42" i="2"/>
  <c r="G38" i="2"/>
  <c r="E64" i="22" s="1"/>
  <c r="G36" i="2"/>
  <c r="B12" i="17" s="1"/>
  <c r="G35" i="2"/>
  <c r="G33" i="2"/>
  <c r="G31" i="2"/>
  <c r="G29" i="2"/>
  <c r="G26" i="19"/>
  <c r="G27" i="19" s="1"/>
  <c r="I130" i="2"/>
  <c r="G31" i="19" s="1"/>
  <c r="C96" i="20"/>
  <c r="G96" i="20" s="1"/>
  <c r="C99" i="20"/>
  <c r="G99" i="20" s="1"/>
  <c r="C98" i="20"/>
  <c r="G98" i="20" s="1"/>
  <c r="C97" i="20"/>
  <c r="G97" i="20" s="1"/>
  <c r="G81" i="20"/>
  <c r="G82" i="20" s="1"/>
  <c r="E77" i="20"/>
  <c r="G76" i="20"/>
  <c r="E76" i="20"/>
  <c r="G62" i="20"/>
  <c r="G48" i="20"/>
  <c r="G33" i="20"/>
  <c r="D4" i="20"/>
  <c r="G90" i="19" l="1"/>
  <c r="G93" i="19" s="1"/>
  <c r="B34" i="19"/>
  <c r="E67" i="2"/>
  <c r="C26" i="9"/>
  <c r="Y437" i="5" a="1"/>
  <c r="Y437" i="5" s="1"/>
  <c r="V439" i="5" a="1"/>
  <c r="V439" i="5" s="1"/>
  <c r="AF439" i="5" a="1"/>
  <c r="AF439" i="5" s="1"/>
  <c r="Z439" i="5" a="1"/>
  <c r="Z439" i="5" s="1"/>
  <c r="AH437" i="5" a="1"/>
  <c r="AH437" i="5" s="1"/>
  <c r="AG439" i="5" a="1"/>
  <c r="AG439" i="5" s="1"/>
  <c r="AK437" i="5" a="1"/>
  <c r="AK437" i="5" s="1"/>
  <c r="AH439" i="5" a="1"/>
  <c r="AH439" i="5" s="1"/>
  <c r="AL439" i="5" a="1"/>
  <c r="AL439" i="5" s="1"/>
  <c r="AR439" i="5" a="1"/>
  <c r="AR439" i="5" s="1"/>
  <c r="AS439" i="5" a="1"/>
  <c r="AS439" i="5" s="1"/>
  <c r="AT439" i="5" a="1"/>
  <c r="AT439" i="5" s="1"/>
  <c r="AX439" i="5" a="1"/>
  <c r="AX439" i="5" s="1"/>
  <c r="T439" i="5" a="1"/>
  <c r="T439" i="5" s="1"/>
  <c r="U439" i="5" a="1"/>
  <c r="U439" i="5" s="1"/>
  <c r="W439" i="5" a="1"/>
  <c r="W439" i="5" s="1"/>
  <c r="AI439" i="5" a="1"/>
  <c r="AI439" i="5" s="1"/>
  <c r="AU439" i="5" a="1"/>
  <c r="AU439" i="5" s="1"/>
  <c r="X439" i="5" a="1"/>
  <c r="X439" i="5" s="1"/>
  <c r="AJ439" i="5" a="1"/>
  <c r="AJ439" i="5" s="1"/>
  <c r="AV439" i="5" a="1"/>
  <c r="AV439" i="5" s="1"/>
  <c r="Y439" i="5" a="1"/>
  <c r="Y439" i="5" s="1"/>
  <c r="AK439" i="5" a="1"/>
  <c r="AK439" i="5" s="1"/>
  <c r="AW439" i="5" a="1"/>
  <c r="AW439" i="5" s="1"/>
  <c r="AA439" i="5" a="1"/>
  <c r="AA439" i="5" s="1"/>
  <c r="AM439" i="5" a="1"/>
  <c r="AM439" i="5" s="1"/>
  <c r="AY439" i="5" a="1"/>
  <c r="AY439" i="5" s="1"/>
  <c r="AB439" i="5" a="1"/>
  <c r="AB439" i="5" s="1"/>
  <c r="AN439" i="5" a="1"/>
  <c r="AN439" i="5" s="1"/>
  <c r="AZ439" i="5" a="1"/>
  <c r="AZ439" i="5" s="1"/>
  <c r="AC439" i="5" a="1"/>
  <c r="AC439" i="5" s="1"/>
  <c r="AO439" i="5" a="1"/>
  <c r="AO439" i="5" s="1"/>
  <c r="AD439" i="5" a="1"/>
  <c r="AD439" i="5" s="1"/>
  <c r="AP439" i="5" a="1"/>
  <c r="AP439" i="5" s="1"/>
  <c r="AE439" i="5" a="1"/>
  <c r="AE439" i="5" s="1"/>
  <c r="AW437" i="5" a="1"/>
  <c r="AW437" i="5" s="1"/>
  <c r="R438" i="5"/>
  <c r="G438" i="5" s="1"/>
  <c r="H438" i="5" s="1"/>
  <c r="X438" i="5" a="1"/>
  <c r="X438" i="5" s="1"/>
  <c r="AJ438" i="5" a="1"/>
  <c r="AJ438" i="5" s="1"/>
  <c r="AK438" i="5" a="1"/>
  <c r="AK438" i="5" s="1"/>
  <c r="R437" i="5"/>
  <c r="G437" i="5" s="1"/>
  <c r="H437" i="5" s="1"/>
  <c r="V437" i="5" a="1"/>
  <c r="V437" i="5" s="1"/>
  <c r="S437" i="5"/>
  <c r="S438" i="5"/>
  <c r="AT437" i="5" a="1"/>
  <c r="AT437" i="5" s="1"/>
  <c r="AG438" i="5" a="1"/>
  <c r="AG438" i="5" s="1"/>
  <c r="AS438" i="5" a="1"/>
  <c r="AS438" i="5" s="1"/>
  <c r="AV438" i="5" a="1"/>
  <c r="AV438" i="5" s="1"/>
  <c r="AW438" i="5" a="1"/>
  <c r="AW438" i="5" s="1"/>
  <c r="U438" i="5" a="1"/>
  <c r="U438" i="5" s="1"/>
  <c r="Y438" i="5" a="1"/>
  <c r="Y438" i="5" s="1"/>
  <c r="W438" i="5" a="1"/>
  <c r="W438" i="5" s="1"/>
  <c r="AI438" i="5" a="1"/>
  <c r="AI438" i="5" s="1"/>
  <c r="AU438" i="5" a="1"/>
  <c r="AU438" i="5" s="1"/>
  <c r="Z438" i="5" a="1"/>
  <c r="Z438" i="5" s="1"/>
  <c r="AL438" i="5" a="1"/>
  <c r="AL438" i="5" s="1"/>
  <c r="AX438" i="5" a="1"/>
  <c r="AX438" i="5" s="1"/>
  <c r="AA438" i="5" a="1"/>
  <c r="AA438" i="5" s="1"/>
  <c r="AM438" i="5" a="1"/>
  <c r="AM438" i="5" s="1"/>
  <c r="AY438" i="5" a="1"/>
  <c r="AY438" i="5" s="1"/>
  <c r="AB438" i="5" a="1"/>
  <c r="AB438" i="5" s="1"/>
  <c r="AN438" i="5" a="1"/>
  <c r="AN438" i="5" s="1"/>
  <c r="AZ438" i="5" a="1"/>
  <c r="AZ438" i="5" s="1"/>
  <c r="AC438" i="5" a="1"/>
  <c r="AC438" i="5" s="1"/>
  <c r="AO438" i="5" a="1"/>
  <c r="AO438" i="5" s="1"/>
  <c r="AD438" i="5" a="1"/>
  <c r="AD438" i="5" s="1"/>
  <c r="AP438" i="5" a="1"/>
  <c r="AP438" i="5" s="1"/>
  <c r="AE438" i="5" a="1"/>
  <c r="AE438" i="5" s="1"/>
  <c r="AQ438" i="5" a="1"/>
  <c r="AQ438" i="5" s="1"/>
  <c r="T438" i="5" a="1"/>
  <c r="T438" i="5" s="1"/>
  <c r="AF438" i="5" a="1"/>
  <c r="AF438" i="5" s="1"/>
  <c r="AR438" i="5" a="1"/>
  <c r="AR438" i="5" s="1"/>
  <c r="V438" i="5" a="1"/>
  <c r="V438" i="5" s="1"/>
  <c r="AH438" i="5" a="1"/>
  <c r="AH438" i="5" s="1"/>
  <c r="X437" i="5" a="1"/>
  <c r="X437" i="5" s="1"/>
  <c r="AJ437" i="5" a="1"/>
  <c r="AJ437" i="5" s="1"/>
  <c r="AV437" i="5" a="1"/>
  <c r="AV437" i="5" s="1"/>
  <c r="Z437" i="5" a="1"/>
  <c r="Z437" i="5" s="1"/>
  <c r="AL437" i="5" a="1"/>
  <c r="AL437" i="5" s="1"/>
  <c r="AX437" i="5" a="1"/>
  <c r="AX437" i="5" s="1"/>
  <c r="AA437" i="5" a="1"/>
  <c r="AA437" i="5" s="1"/>
  <c r="AM437" i="5" a="1"/>
  <c r="AM437" i="5" s="1"/>
  <c r="AY437" i="5" a="1"/>
  <c r="AY437" i="5" s="1"/>
  <c r="AB437" i="5" a="1"/>
  <c r="AB437" i="5" s="1"/>
  <c r="AN437" i="5" a="1"/>
  <c r="AN437" i="5" s="1"/>
  <c r="AZ437" i="5" a="1"/>
  <c r="AZ437" i="5" s="1"/>
  <c r="AC437" i="5" a="1"/>
  <c r="AC437" i="5" s="1"/>
  <c r="AO437" i="5" a="1"/>
  <c r="AO437" i="5" s="1"/>
  <c r="AD437" i="5" a="1"/>
  <c r="AD437" i="5" s="1"/>
  <c r="AP437" i="5" a="1"/>
  <c r="AP437" i="5" s="1"/>
  <c r="AE437" i="5" a="1"/>
  <c r="AE437" i="5" s="1"/>
  <c r="AQ437" i="5" a="1"/>
  <c r="AQ437" i="5" s="1"/>
  <c r="T437" i="5" a="1"/>
  <c r="T437" i="5" s="1"/>
  <c r="AF437" i="5" a="1"/>
  <c r="AF437" i="5" s="1"/>
  <c r="AR437" i="5" a="1"/>
  <c r="AR437" i="5" s="1"/>
  <c r="U437" i="5" a="1"/>
  <c r="U437" i="5" s="1"/>
  <c r="AG437" i="5" a="1"/>
  <c r="AG437" i="5" s="1"/>
  <c r="AS437" i="5" a="1"/>
  <c r="AS437" i="5" s="1"/>
  <c r="W437" i="5" a="1"/>
  <c r="W437" i="5" s="1"/>
  <c r="AI437" i="5" a="1"/>
  <c r="AI437" i="5" s="1"/>
  <c r="AM219" i="5" a="1"/>
  <c r="AM219" i="5" s="1"/>
  <c r="AA220" i="5" a="1"/>
  <c r="AA220" i="5" s="1"/>
  <c r="AB220" i="5" a="1"/>
  <c r="AB220" i="5" s="1"/>
  <c r="AC220" i="5" a="1"/>
  <c r="AC220" i="5" s="1"/>
  <c r="C12" i="20"/>
  <c r="E64" i="2"/>
  <c r="AE219" i="5" a="1"/>
  <c r="AE219" i="5" s="1"/>
  <c r="AY219" i="5" a="1"/>
  <c r="AY219" i="5" s="1"/>
  <c r="AN220" i="5" a="1"/>
  <c r="AN220" i="5" s="1"/>
  <c r="AO220" i="5" a="1"/>
  <c r="AO220" i="5" s="1"/>
  <c r="S219" i="5"/>
  <c r="S220" i="5"/>
  <c r="AM220" i="5" a="1"/>
  <c r="AM220" i="5" s="1"/>
  <c r="R217" i="5"/>
  <c r="G217" i="5" s="1"/>
  <c r="H217" i="5" s="1"/>
  <c r="R218" i="5"/>
  <c r="G218" i="5" s="1"/>
  <c r="H218" i="5" s="1"/>
  <c r="AY220" i="5" a="1"/>
  <c r="AY220" i="5" s="1"/>
  <c r="AZ220" i="5" a="1"/>
  <c r="AZ220" i="5" s="1"/>
  <c r="R219" i="5"/>
  <c r="G219" i="5" s="1"/>
  <c r="H219" i="5" s="1"/>
  <c r="AA219" i="5" a="1"/>
  <c r="AA219" i="5" s="1"/>
  <c r="AQ219" i="5" a="1"/>
  <c r="AQ219" i="5" s="1"/>
  <c r="S217" i="5"/>
  <c r="R220" i="5"/>
  <c r="G220" i="5" s="1"/>
  <c r="H220" i="5" s="1"/>
  <c r="S218" i="5"/>
  <c r="Z220" i="5" a="1"/>
  <c r="Z220" i="5" s="1"/>
  <c r="AL220" i="5" a="1"/>
  <c r="AL220" i="5" s="1"/>
  <c r="AX220" i="5" a="1"/>
  <c r="AX220" i="5" s="1"/>
  <c r="AP220" i="5" a="1"/>
  <c r="AP220" i="5" s="1"/>
  <c r="AE220" i="5" a="1"/>
  <c r="AE220" i="5" s="1"/>
  <c r="AQ220" i="5" a="1"/>
  <c r="AQ220" i="5" s="1"/>
  <c r="T220" i="5" a="1"/>
  <c r="T220" i="5" s="1"/>
  <c r="AF220" i="5" a="1"/>
  <c r="AF220" i="5" s="1"/>
  <c r="AR220" i="5" a="1"/>
  <c r="AR220" i="5" s="1"/>
  <c r="U220" i="5" a="1"/>
  <c r="U220" i="5" s="1"/>
  <c r="AG220" i="5" a="1"/>
  <c r="AG220" i="5" s="1"/>
  <c r="AS220" i="5" a="1"/>
  <c r="AS220" i="5" s="1"/>
  <c r="V220" i="5" a="1"/>
  <c r="V220" i="5" s="1"/>
  <c r="AH220" i="5" a="1"/>
  <c r="AH220" i="5" s="1"/>
  <c r="AT220" i="5" a="1"/>
  <c r="AT220" i="5" s="1"/>
  <c r="W220" i="5" a="1"/>
  <c r="W220" i="5" s="1"/>
  <c r="AI220" i="5" a="1"/>
  <c r="AI220" i="5" s="1"/>
  <c r="AU220" i="5" a="1"/>
  <c r="AU220" i="5" s="1"/>
  <c r="X220" i="5" a="1"/>
  <c r="X220" i="5" s="1"/>
  <c r="AJ220" i="5" a="1"/>
  <c r="AJ220" i="5" s="1"/>
  <c r="AV220" i="5" a="1"/>
  <c r="AV220" i="5" s="1"/>
  <c r="AD220" i="5" a="1"/>
  <c r="AD220" i="5" s="1"/>
  <c r="Y220" i="5" a="1"/>
  <c r="Y220" i="5" s="1"/>
  <c r="AK220" i="5" a="1"/>
  <c r="AK220" i="5" s="1"/>
  <c r="AB219" i="5" a="1"/>
  <c r="AB219" i="5" s="1"/>
  <c r="AN219" i="5" a="1"/>
  <c r="AN219" i="5" s="1"/>
  <c r="AZ219" i="5" a="1"/>
  <c r="AZ219" i="5" s="1"/>
  <c r="AC219" i="5" a="1"/>
  <c r="AC219" i="5" s="1"/>
  <c r="AO219" i="5" a="1"/>
  <c r="AO219" i="5" s="1"/>
  <c r="AD219" i="5" a="1"/>
  <c r="AD219" i="5" s="1"/>
  <c r="AP219" i="5" a="1"/>
  <c r="AP219" i="5" s="1"/>
  <c r="T219" i="5" a="1"/>
  <c r="T219" i="5" s="1"/>
  <c r="AF219" i="5" a="1"/>
  <c r="AF219" i="5" s="1"/>
  <c r="AR219" i="5" a="1"/>
  <c r="AR219" i="5" s="1"/>
  <c r="U219" i="5" a="1"/>
  <c r="U219" i="5" s="1"/>
  <c r="AG219" i="5" a="1"/>
  <c r="AG219" i="5" s="1"/>
  <c r="AS219" i="5" a="1"/>
  <c r="AS219" i="5" s="1"/>
  <c r="V219" i="5" a="1"/>
  <c r="V219" i="5" s="1"/>
  <c r="AH219" i="5" a="1"/>
  <c r="AH219" i="5" s="1"/>
  <c r="AT219" i="5" a="1"/>
  <c r="AT219" i="5" s="1"/>
  <c r="W219" i="5" a="1"/>
  <c r="W219" i="5" s="1"/>
  <c r="AI219" i="5" a="1"/>
  <c r="AI219" i="5" s="1"/>
  <c r="AU219" i="5" a="1"/>
  <c r="AU219" i="5" s="1"/>
  <c r="X219" i="5" a="1"/>
  <c r="X219" i="5" s="1"/>
  <c r="AJ219" i="5" a="1"/>
  <c r="AJ219" i="5" s="1"/>
  <c r="AV219" i="5" a="1"/>
  <c r="AV219" i="5" s="1"/>
  <c r="Y219" i="5" a="1"/>
  <c r="Y219" i="5" s="1"/>
  <c r="AK219" i="5" a="1"/>
  <c r="AK219" i="5" s="1"/>
  <c r="AW219" i="5" a="1"/>
  <c r="AW219" i="5" s="1"/>
  <c r="Z219" i="5" a="1"/>
  <c r="Z219" i="5" s="1"/>
  <c r="AL219" i="5" a="1"/>
  <c r="AL219" i="5" s="1"/>
  <c r="Z218" i="5" a="1"/>
  <c r="Z218" i="5" s="1"/>
  <c r="AQ218" i="5" a="1"/>
  <c r="AQ218" i="5" s="1"/>
  <c r="AE218" i="5" a="1"/>
  <c r="AE218" i="5" s="1"/>
  <c r="AX218" i="5" a="1"/>
  <c r="AX218" i="5" s="1"/>
  <c r="AB218" i="5" a="1"/>
  <c r="AB218" i="5" s="1"/>
  <c r="AN218" i="5" a="1"/>
  <c r="AN218" i="5" s="1"/>
  <c r="AZ218" i="5" a="1"/>
  <c r="AZ218" i="5" s="1"/>
  <c r="AL218" i="5" a="1"/>
  <c r="AL218" i="5" s="1"/>
  <c r="AC218" i="5" a="1"/>
  <c r="AC218" i="5" s="1"/>
  <c r="AO218" i="5" a="1"/>
  <c r="AO218" i="5" s="1"/>
  <c r="AD218" i="5" a="1"/>
  <c r="AD218" i="5" s="1"/>
  <c r="AP218" i="5" a="1"/>
  <c r="AP218" i="5" s="1"/>
  <c r="T218" i="5" a="1"/>
  <c r="T218" i="5" s="1"/>
  <c r="AF218" i="5" a="1"/>
  <c r="AF218" i="5" s="1"/>
  <c r="AR218" i="5" a="1"/>
  <c r="AR218" i="5" s="1"/>
  <c r="U218" i="5" a="1"/>
  <c r="U218" i="5" s="1"/>
  <c r="AG218" i="5" a="1"/>
  <c r="AG218" i="5" s="1"/>
  <c r="AS218" i="5" a="1"/>
  <c r="AS218" i="5" s="1"/>
  <c r="V218" i="5" a="1"/>
  <c r="V218" i="5" s="1"/>
  <c r="AH218" i="5" a="1"/>
  <c r="AH218" i="5" s="1"/>
  <c r="AT218" i="5" a="1"/>
  <c r="AT218" i="5" s="1"/>
  <c r="W218" i="5" a="1"/>
  <c r="W218" i="5" s="1"/>
  <c r="AI218" i="5" a="1"/>
  <c r="AI218" i="5" s="1"/>
  <c r="AU218" i="5" a="1"/>
  <c r="AU218" i="5" s="1"/>
  <c r="X218" i="5" a="1"/>
  <c r="X218" i="5" s="1"/>
  <c r="AJ218" i="5" a="1"/>
  <c r="AJ218" i="5" s="1"/>
  <c r="AV218" i="5" a="1"/>
  <c r="AV218" i="5" s="1"/>
  <c r="Y218" i="5" a="1"/>
  <c r="Y218" i="5" s="1"/>
  <c r="AK218" i="5" a="1"/>
  <c r="AK218" i="5" s="1"/>
  <c r="AW218" i="5" a="1"/>
  <c r="AW218" i="5" s="1"/>
  <c r="AA218" i="5" a="1"/>
  <c r="AA218" i="5" s="1"/>
  <c r="AM218" i="5" a="1"/>
  <c r="AM218" i="5" s="1"/>
  <c r="V412" i="5" a="1"/>
  <c r="V412" i="5" s="1"/>
  <c r="AL412" i="5" a="1"/>
  <c r="AL412" i="5" s="1"/>
  <c r="W412" i="5" a="1"/>
  <c r="W412" i="5" s="1"/>
  <c r="AM412" i="5" a="1"/>
  <c r="AM412" i="5" s="1"/>
  <c r="X412" i="5" a="1"/>
  <c r="X412" i="5" s="1"/>
  <c r="AN412" i="5" a="1"/>
  <c r="AN412" i="5" s="1"/>
  <c r="Z412" i="5" a="1"/>
  <c r="Z412" i="5" s="1"/>
  <c r="AP412" i="5" a="1"/>
  <c r="AP412" i="5" s="1"/>
  <c r="AA412" i="5" a="1"/>
  <c r="AA412" i="5" s="1"/>
  <c r="AQ412" i="5" a="1"/>
  <c r="AQ412" i="5" s="1"/>
  <c r="AB412" i="5" a="1"/>
  <c r="AB412" i="5" s="1"/>
  <c r="AR412" i="5" a="1"/>
  <c r="AR412" i="5" s="1"/>
  <c r="AC412" i="5" a="1"/>
  <c r="AC412" i="5" s="1"/>
  <c r="AS412" i="5" a="1"/>
  <c r="AS412" i="5" s="1"/>
  <c r="AD412" i="5" a="1"/>
  <c r="AD412" i="5" s="1"/>
  <c r="AT412" i="5" a="1"/>
  <c r="AT412" i="5" s="1"/>
  <c r="AE412" i="5" a="1"/>
  <c r="AE412" i="5" s="1"/>
  <c r="AU412" i="5" a="1"/>
  <c r="AU412" i="5" s="1"/>
  <c r="AF412" i="5" a="1"/>
  <c r="AF412" i="5" s="1"/>
  <c r="AV412" i="5" a="1"/>
  <c r="AV412" i="5" s="1"/>
  <c r="AG412" i="5" a="1"/>
  <c r="AG412" i="5" s="1"/>
  <c r="AW412" i="5" a="1"/>
  <c r="AW412" i="5" s="1"/>
  <c r="AH412" i="5" a="1"/>
  <c r="AH412" i="5" s="1"/>
  <c r="AX412" i="5" a="1"/>
  <c r="AX412" i="5" s="1"/>
  <c r="AI412" i="5" a="1"/>
  <c r="AI412" i="5" s="1"/>
  <c r="AY412" i="5" a="1"/>
  <c r="AY412" i="5" s="1"/>
  <c r="T412" i="5" a="1"/>
  <c r="T412" i="5" s="1"/>
  <c r="AJ412" i="5" a="1"/>
  <c r="AJ412" i="5" s="1"/>
  <c r="Z411" i="5" a="1"/>
  <c r="Z411" i="5" s="1"/>
  <c r="AP411" i="5" a="1"/>
  <c r="AP411" i="5" s="1"/>
  <c r="AA411" i="5" a="1"/>
  <c r="AA411" i="5" s="1"/>
  <c r="AQ411" i="5" a="1"/>
  <c r="AQ411" i="5" s="1"/>
  <c r="AB411" i="5" a="1"/>
  <c r="AB411" i="5" s="1"/>
  <c r="AR411" i="5" a="1"/>
  <c r="AR411" i="5" s="1"/>
  <c r="AC411" i="5" a="1"/>
  <c r="AC411" i="5" s="1"/>
  <c r="AS411" i="5" a="1"/>
  <c r="AS411" i="5" s="1"/>
  <c r="AE411" i="5" a="1"/>
  <c r="AE411" i="5" s="1"/>
  <c r="AU411" i="5" a="1"/>
  <c r="AU411" i="5" s="1"/>
  <c r="AF411" i="5" a="1"/>
  <c r="AF411" i="5" s="1"/>
  <c r="AV411" i="5" a="1"/>
  <c r="AV411" i="5" s="1"/>
  <c r="AG411" i="5" a="1"/>
  <c r="AG411" i="5" s="1"/>
  <c r="AW411" i="5" a="1"/>
  <c r="AW411" i="5" s="1"/>
  <c r="AH411" i="5" a="1"/>
  <c r="AH411" i="5" s="1"/>
  <c r="AX411" i="5" a="1"/>
  <c r="AX411" i="5" s="1"/>
  <c r="AI411" i="5" a="1"/>
  <c r="AI411" i="5" s="1"/>
  <c r="AY411" i="5" a="1"/>
  <c r="AY411" i="5" s="1"/>
  <c r="T411" i="5" a="1"/>
  <c r="T411" i="5" s="1"/>
  <c r="AJ411" i="5" a="1"/>
  <c r="AJ411" i="5" s="1"/>
  <c r="AZ411" i="5" a="1"/>
  <c r="AZ411" i="5" s="1"/>
  <c r="U411" i="5" a="1"/>
  <c r="U411" i="5" s="1"/>
  <c r="AK411" i="5" a="1"/>
  <c r="AK411" i="5" s="1"/>
  <c r="V411" i="5" a="1"/>
  <c r="V411" i="5" s="1"/>
  <c r="AL411" i="5" a="1"/>
  <c r="AL411" i="5" s="1"/>
  <c r="W411" i="5" a="1"/>
  <c r="W411" i="5" s="1"/>
  <c r="AM411" i="5" a="1"/>
  <c r="AM411" i="5" s="1"/>
  <c r="X411" i="5" a="1"/>
  <c r="X411" i="5" s="1"/>
  <c r="AN411" i="5" a="1"/>
  <c r="AN411" i="5" s="1"/>
  <c r="Y411" i="5" a="1"/>
  <c r="Y411" i="5" s="1"/>
  <c r="S428" i="5"/>
  <c r="R194" i="5"/>
  <c r="G194" i="5" s="1"/>
  <c r="H194" i="5" s="1"/>
  <c r="S194" i="5"/>
  <c r="R428" i="5"/>
  <c r="G428" i="5" s="1"/>
  <c r="H428" i="5" s="1"/>
  <c r="G45" i="2"/>
  <c r="E72" i="22" s="1"/>
  <c r="H72" i="22" s="1"/>
  <c r="C27" i="9"/>
  <c r="AB217" i="5" a="1"/>
  <c r="AB217" i="5" s="1"/>
  <c r="AN217" i="5" a="1"/>
  <c r="AN217" i="5" s="1"/>
  <c r="AZ217" i="5" a="1"/>
  <c r="AZ217" i="5" s="1"/>
  <c r="AO217" i="5" a="1"/>
  <c r="AO217" i="5" s="1"/>
  <c r="AD217" i="5" a="1"/>
  <c r="AD217" i="5" s="1"/>
  <c r="AP217" i="5" a="1"/>
  <c r="AP217" i="5" s="1"/>
  <c r="AQ217" i="5" a="1"/>
  <c r="AQ217" i="5" s="1"/>
  <c r="AC217" i="5" a="1"/>
  <c r="AC217" i="5" s="1"/>
  <c r="AE217" i="5" a="1"/>
  <c r="AE217" i="5" s="1"/>
  <c r="T217" i="5" a="1"/>
  <c r="T217" i="5" s="1"/>
  <c r="AF217" i="5" a="1"/>
  <c r="AF217" i="5" s="1"/>
  <c r="AR217" i="5" a="1"/>
  <c r="AR217" i="5" s="1"/>
  <c r="AS217" i="5" a="1"/>
  <c r="AS217" i="5" s="1"/>
  <c r="AG217" i="5" a="1"/>
  <c r="AG217" i="5" s="1"/>
  <c r="V217" i="5" a="1"/>
  <c r="V217" i="5" s="1"/>
  <c r="AH217" i="5" a="1"/>
  <c r="AH217" i="5" s="1"/>
  <c r="AT217" i="5" a="1"/>
  <c r="AT217" i="5" s="1"/>
  <c r="AU217" i="5" a="1"/>
  <c r="AU217" i="5" s="1"/>
  <c r="U217" i="5" a="1"/>
  <c r="U217" i="5" s="1"/>
  <c r="X217" i="5" a="1"/>
  <c r="X217" i="5" s="1"/>
  <c r="AJ217" i="5" a="1"/>
  <c r="AJ217" i="5" s="1"/>
  <c r="AV217" i="5" a="1"/>
  <c r="AV217" i="5" s="1"/>
  <c r="W217" i="5" a="1"/>
  <c r="W217" i="5" s="1"/>
  <c r="Y217" i="5" a="1"/>
  <c r="Y217" i="5" s="1"/>
  <c r="AK217" i="5" a="1"/>
  <c r="AK217" i="5" s="1"/>
  <c r="AW217" i="5" a="1"/>
  <c r="AW217" i="5" s="1"/>
  <c r="AI217" i="5" a="1"/>
  <c r="AI217" i="5" s="1"/>
  <c r="Z217" i="5" a="1"/>
  <c r="Z217" i="5" s="1"/>
  <c r="AL217" i="5" a="1"/>
  <c r="AL217" i="5" s="1"/>
  <c r="AX217" i="5" a="1"/>
  <c r="AX217" i="5" s="1"/>
  <c r="AA217" i="5" a="1"/>
  <c r="AA217" i="5" s="1"/>
  <c r="AM217" i="5" a="1"/>
  <c r="AM217" i="5" s="1"/>
  <c r="R206" i="5"/>
  <c r="G206" i="5" s="1"/>
  <c r="H206" i="5" s="1"/>
  <c r="S203" i="5"/>
  <c r="R207" i="5"/>
  <c r="G207" i="5" s="1"/>
  <c r="H207" i="5" s="1"/>
  <c r="S204" i="5"/>
  <c r="S205" i="5"/>
  <c r="S206" i="5"/>
  <c r="S207" i="5"/>
  <c r="R204" i="5"/>
  <c r="G204" i="5" s="1"/>
  <c r="H204" i="5" s="1"/>
  <c r="R205" i="5"/>
  <c r="G205" i="5" s="1"/>
  <c r="H205" i="5" s="1"/>
  <c r="V207" i="5" a="1"/>
  <c r="V207" i="5" s="1"/>
  <c r="AL207" i="5" a="1"/>
  <c r="AL207" i="5" s="1"/>
  <c r="W207" i="5" a="1"/>
  <c r="W207" i="5" s="1"/>
  <c r="AM207" i="5" a="1"/>
  <c r="AM207" i="5" s="1"/>
  <c r="X207" i="5" a="1"/>
  <c r="X207" i="5" s="1"/>
  <c r="AN207" i="5" a="1"/>
  <c r="AN207" i="5" s="1"/>
  <c r="Y207" i="5" a="1"/>
  <c r="Y207" i="5" s="1"/>
  <c r="AO207" i="5" a="1"/>
  <c r="AO207" i="5" s="1"/>
  <c r="Z207" i="5" a="1"/>
  <c r="Z207" i="5" s="1"/>
  <c r="AP207" i="5" a="1"/>
  <c r="AP207" i="5" s="1"/>
  <c r="AA207" i="5" a="1"/>
  <c r="AA207" i="5" s="1"/>
  <c r="AQ207" i="5" a="1"/>
  <c r="AQ207" i="5" s="1"/>
  <c r="AR207" i="5" a="1"/>
  <c r="AR207" i="5" s="1"/>
  <c r="AC207" i="5" a="1"/>
  <c r="AC207" i="5" s="1"/>
  <c r="AS207" i="5" a="1"/>
  <c r="AS207" i="5" s="1"/>
  <c r="AB207" i="5" a="1"/>
  <c r="AB207" i="5" s="1"/>
  <c r="AD207" i="5" a="1"/>
  <c r="AD207" i="5" s="1"/>
  <c r="AT207" i="5" a="1"/>
  <c r="AT207" i="5" s="1"/>
  <c r="AE207" i="5" a="1"/>
  <c r="AE207" i="5" s="1"/>
  <c r="AU207" i="5" a="1"/>
  <c r="AU207" i="5" s="1"/>
  <c r="AF207" i="5" a="1"/>
  <c r="AF207" i="5" s="1"/>
  <c r="AV207" i="5" a="1"/>
  <c r="AV207" i="5" s="1"/>
  <c r="AG207" i="5" a="1"/>
  <c r="AG207" i="5" s="1"/>
  <c r="AW207" i="5" a="1"/>
  <c r="AW207" i="5" s="1"/>
  <c r="AH207" i="5" a="1"/>
  <c r="AH207" i="5" s="1"/>
  <c r="AX207" i="5" a="1"/>
  <c r="AX207" i="5" s="1"/>
  <c r="AI207" i="5" a="1"/>
  <c r="AI207" i="5" s="1"/>
  <c r="AY207" i="5" a="1"/>
  <c r="AY207" i="5" s="1"/>
  <c r="T207" i="5" a="1"/>
  <c r="T207" i="5" s="1"/>
  <c r="AJ207" i="5" a="1"/>
  <c r="AJ207" i="5" s="1"/>
  <c r="AZ207" i="5" a="1"/>
  <c r="AZ207" i="5" s="1"/>
  <c r="U207" i="5" a="1"/>
  <c r="U207" i="5" s="1"/>
  <c r="AD204" i="5" a="1"/>
  <c r="AD204" i="5" s="1"/>
  <c r="AT204" i="5" a="1"/>
  <c r="AT204" i="5" s="1"/>
  <c r="AL204" i="5" a="1"/>
  <c r="AL204" i="5" s="1"/>
  <c r="V204" i="5" a="1"/>
  <c r="V204" i="5" s="1"/>
  <c r="B15" i="20"/>
  <c r="E45" i="2"/>
  <c r="D42" i="22" s="1"/>
  <c r="B59" i="19"/>
  <c r="G54" i="19"/>
  <c r="G47" i="19"/>
  <c r="G48" i="19" s="1"/>
  <c r="E41" i="5"/>
  <c r="G41" i="5" s="1"/>
  <c r="G39" i="5"/>
  <c r="B42" i="19"/>
  <c r="G33" i="19"/>
  <c r="G30" i="19"/>
  <c r="B21" i="19" s="1"/>
  <c r="R365" i="5"/>
  <c r="B365" i="5" s="1"/>
  <c r="R352" i="5"/>
  <c r="B352" i="5" s="1"/>
  <c r="R313" i="5"/>
  <c r="B313" i="5" s="1"/>
  <c r="S248" i="5"/>
  <c r="R248" i="5"/>
  <c r="U248" i="5" s="1"/>
  <c r="S404" i="5"/>
  <c r="R274" i="5"/>
  <c r="U274" i="5" s="1"/>
  <c r="R326" i="5"/>
  <c r="U326" i="5" s="1"/>
  <c r="R417" i="5"/>
  <c r="S365" i="5"/>
  <c r="R404" i="5"/>
  <c r="B404" i="5" s="1"/>
  <c r="R235" i="5"/>
  <c r="U235" i="5" s="1"/>
  <c r="S352" i="5"/>
  <c r="R287" i="5"/>
  <c r="U287" i="5" s="1"/>
  <c r="R378" i="5"/>
  <c r="U378" i="5" s="1"/>
  <c r="R391" i="5"/>
  <c r="U391" i="5" s="1"/>
  <c r="S417" i="5"/>
  <c r="S313" i="5"/>
  <c r="R339" i="5"/>
  <c r="U339" i="5" s="1"/>
  <c r="R300" i="5"/>
  <c r="B300" i="5" s="1"/>
  <c r="S378" i="5"/>
  <c r="S274" i="5"/>
  <c r="R429" i="5"/>
  <c r="G429" i="5" s="1"/>
  <c r="H429" i="5" s="1"/>
  <c r="S339" i="5"/>
  <c r="S235" i="5"/>
  <c r="S426" i="5"/>
  <c r="S300" i="5"/>
  <c r="S190" i="5"/>
  <c r="S191" i="5"/>
  <c r="S391" i="5"/>
  <c r="S192" i="5"/>
  <c r="S256" i="5"/>
  <c r="S193" i="5"/>
  <c r="S326" i="5"/>
  <c r="S257" i="5"/>
  <c r="S429" i="5"/>
  <c r="S258" i="5"/>
  <c r="S287" i="5"/>
  <c r="S259" i="5"/>
  <c r="B147" i="5"/>
  <c r="R426" i="5"/>
  <c r="G426" i="5" s="1"/>
  <c r="H426" i="5" s="1"/>
  <c r="AD361" i="5" a="1"/>
  <c r="AD361" i="5" s="1"/>
  <c r="AT361" i="5" a="1"/>
  <c r="AT361" i="5" s="1"/>
  <c r="AE361" i="5" a="1"/>
  <c r="AE361" i="5" s="1"/>
  <c r="AU361" i="5" a="1"/>
  <c r="AU361" i="5" s="1"/>
  <c r="AF361" i="5" a="1"/>
  <c r="AF361" i="5" s="1"/>
  <c r="AV361" i="5" a="1"/>
  <c r="AV361" i="5" s="1"/>
  <c r="AG361" i="5" a="1"/>
  <c r="AG361" i="5" s="1"/>
  <c r="AW361" i="5" a="1"/>
  <c r="AW361" i="5" s="1"/>
  <c r="AH361" i="5" a="1"/>
  <c r="AH361" i="5" s="1"/>
  <c r="AX361" i="5" a="1"/>
  <c r="AX361" i="5" s="1"/>
  <c r="AI361" i="5" a="1"/>
  <c r="AI361" i="5" s="1"/>
  <c r="AY361" i="5" a="1"/>
  <c r="AY361" i="5" s="1"/>
  <c r="U361" i="5" a="1"/>
  <c r="U361" i="5" s="1"/>
  <c r="AK361" i="5" a="1"/>
  <c r="AK361" i="5" s="1"/>
  <c r="V361" i="5" a="1"/>
  <c r="V361" i="5" s="1"/>
  <c r="AL361" i="5" a="1"/>
  <c r="AL361" i="5" s="1"/>
  <c r="W361" i="5" a="1"/>
  <c r="W361" i="5" s="1"/>
  <c r="AM361" i="5" a="1"/>
  <c r="AM361" i="5" s="1"/>
  <c r="X361" i="5" a="1"/>
  <c r="X361" i="5" s="1"/>
  <c r="AN361" i="5" a="1"/>
  <c r="AN361" i="5" s="1"/>
  <c r="Y361" i="5" a="1"/>
  <c r="Y361" i="5" s="1"/>
  <c r="AO361" i="5" a="1"/>
  <c r="AO361" i="5" s="1"/>
  <c r="Z361" i="5" a="1"/>
  <c r="Z361" i="5" s="1"/>
  <c r="AP361" i="5" a="1"/>
  <c r="AP361" i="5" s="1"/>
  <c r="AA361" i="5" a="1"/>
  <c r="AA361" i="5" s="1"/>
  <c r="T298" i="5" a="1"/>
  <c r="T298" i="5" s="1"/>
  <c r="AJ298" i="5" a="1"/>
  <c r="AJ298" i="5" s="1"/>
  <c r="AZ298" i="5" a="1"/>
  <c r="AZ298" i="5" s="1"/>
  <c r="U298" i="5" a="1"/>
  <c r="U298" i="5" s="1"/>
  <c r="AK298" i="5" a="1"/>
  <c r="AK298" i="5" s="1"/>
  <c r="V298" i="5" a="1"/>
  <c r="V298" i="5" s="1"/>
  <c r="AL298" i="5" a="1"/>
  <c r="AL298" i="5" s="1"/>
  <c r="X298" i="5" a="1"/>
  <c r="X298" i="5" s="1"/>
  <c r="AN298" i="5" a="1"/>
  <c r="AN298" i="5" s="1"/>
  <c r="Y298" i="5" a="1"/>
  <c r="Y298" i="5" s="1"/>
  <c r="AO298" i="5" a="1"/>
  <c r="AO298" i="5" s="1"/>
  <c r="AA298" i="5" a="1"/>
  <c r="AA298" i="5" s="1"/>
  <c r="AQ298" i="5" a="1"/>
  <c r="AQ298" i="5" s="1"/>
  <c r="AB298" i="5" a="1"/>
  <c r="AB298" i="5" s="1"/>
  <c r="AR298" i="5" a="1"/>
  <c r="AR298" i="5" s="1"/>
  <c r="AC298" i="5" a="1"/>
  <c r="AC298" i="5" s="1"/>
  <c r="AS298" i="5" a="1"/>
  <c r="AS298" i="5" s="1"/>
  <c r="AD298" i="5" a="1"/>
  <c r="AD298" i="5" s="1"/>
  <c r="AT298" i="5" a="1"/>
  <c r="AT298" i="5" s="1"/>
  <c r="AF298" i="5" a="1"/>
  <c r="AF298" i="5" s="1"/>
  <c r="AV298" i="5" a="1"/>
  <c r="AV298" i="5" s="1"/>
  <c r="AG298" i="5" a="1"/>
  <c r="AG298" i="5" s="1"/>
  <c r="AW298" i="5" a="1"/>
  <c r="AW298" i="5" s="1"/>
  <c r="AH298" i="5" a="1"/>
  <c r="AH298" i="5" s="1"/>
  <c r="AX298" i="5" a="1"/>
  <c r="AX298" i="5" s="1"/>
  <c r="AI298" i="5" a="1"/>
  <c r="AI298" i="5" s="1"/>
  <c r="AG285" i="5" a="1"/>
  <c r="AG285" i="5" s="1"/>
  <c r="AW285" i="5" a="1"/>
  <c r="AW285" i="5" s="1"/>
  <c r="AH285" i="5" a="1"/>
  <c r="AH285" i="5" s="1"/>
  <c r="AX285" i="5" a="1"/>
  <c r="AX285" i="5" s="1"/>
  <c r="AI285" i="5" a="1"/>
  <c r="AI285" i="5" s="1"/>
  <c r="AY285" i="5" a="1"/>
  <c r="AY285" i="5" s="1"/>
  <c r="T285" i="5" a="1"/>
  <c r="T285" i="5" s="1"/>
  <c r="AJ285" i="5" a="1"/>
  <c r="AJ285" i="5" s="1"/>
  <c r="AZ285" i="5" a="1"/>
  <c r="AZ285" i="5" s="1"/>
  <c r="U285" i="5" a="1"/>
  <c r="U285" i="5" s="1"/>
  <c r="AK285" i="5" a="1"/>
  <c r="AK285" i="5" s="1"/>
  <c r="W285" i="5" a="1"/>
  <c r="W285" i="5" s="1"/>
  <c r="AM285" i="5" a="1"/>
  <c r="AM285" i="5" s="1"/>
  <c r="X285" i="5" a="1"/>
  <c r="X285" i="5" s="1"/>
  <c r="AN285" i="5" a="1"/>
  <c r="AN285" i="5" s="1"/>
  <c r="Y285" i="5" a="1"/>
  <c r="Y285" i="5" s="1"/>
  <c r="AO285" i="5" a="1"/>
  <c r="AO285" i="5" s="1"/>
  <c r="AA285" i="5" a="1"/>
  <c r="AA285" i="5" s="1"/>
  <c r="AQ285" i="5" a="1"/>
  <c r="AQ285" i="5" s="1"/>
  <c r="AB285" i="5" a="1"/>
  <c r="AB285" i="5" s="1"/>
  <c r="AR285" i="5" a="1"/>
  <c r="AR285" i="5" s="1"/>
  <c r="AC285" i="5" a="1"/>
  <c r="AC285" i="5" s="1"/>
  <c r="AS285" i="5" a="1"/>
  <c r="AS285" i="5" s="1"/>
  <c r="AD285" i="5" a="1"/>
  <c r="AD285" i="5" s="1"/>
  <c r="Y269" i="5" a="1"/>
  <c r="Y269" i="5" s="1"/>
  <c r="AE269" i="5" a="1"/>
  <c r="AE269" i="5" s="1"/>
  <c r="AO269" i="5" a="1"/>
  <c r="AO269" i="5" s="1"/>
  <c r="AU269" i="5" a="1"/>
  <c r="AU269" i="5" s="1"/>
  <c r="AW269" i="5" a="1"/>
  <c r="AW269" i="5" s="1"/>
  <c r="Z269" i="5" a="1"/>
  <c r="Z269" i="5" s="1"/>
  <c r="AP269" i="5" a="1"/>
  <c r="AP269" i="5" s="1"/>
  <c r="AA269" i="5" a="1"/>
  <c r="AA269" i="5" s="1"/>
  <c r="AQ269" i="5" a="1"/>
  <c r="AQ269" i="5" s="1"/>
  <c r="AB269" i="5" a="1"/>
  <c r="AB269" i="5" s="1"/>
  <c r="AR269" i="5" a="1"/>
  <c r="AR269" i="5" s="1"/>
  <c r="AC269" i="5" a="1"/>
  <c r="AC269" i="5" s="1"/>
  <c r="AS269" i="5" a="1"/>
  <c r="AS269" i="5" s="1"/>
  <c r="AD269" i="5" a="1"/>
  <c r="AD269" i="5" s="1"/>
  <c r="AT269" i="5" a="1"/>
  <c r="AT269" i="5" s="1"/>
  <c r="AF269" i="5" a="1"/>
  <c r="AF269" i="5" s="1"/>
  <c r="AV269" i="5" a="1"/>
  <c r="AV269" i="5" s="1"/>
  <c r="AH269" i="5" a="1"/>
  <c r="AH269" i="5" s="1"/>
  <c r="AX269" i="5" a="1"/>
  <c r="AX269" i="5" s="1"/>
  <c r="AI269" i="5" a="1"/>
  <c r="AI269" i="5" s="1"/>
  <c r="AY269" i="5" a="1"/>
  <c r="AY269" i="5" s="1"/>
  <c r="T269" i="5" a="1"/>
  <c r="T269" i="5" s="1"/>
  <c r="AJ269" i="5" a="1"/>
  <c r="AJ269" i="5" s="1"/>
  <c r="AZ269" i="5" a="1"/>
  <c r="AZ269" i="5" s="1"/>
  <c r="U269" i="5" a="1"/>
  <c r="U269" i="5" s="1"/>
  <c r="AK269" i="5" a="1"/>
  <c r="AK269" i="5" s="1"/>
  <c r="V269" i="5" a="1"/>
  <c r="V269" i="5" s="1"/>
  <c r="AL269" i="5" a="1"/>
  <c r="AL269" i="5" s="1"/>
  <c r="W269" i="5" a="1"/>
  <c r="W269" i="5" s="1"/>
  <c r="AM269" i="5" a="1"/>
  <c r="AM269" i="5" s="1"/>
  <c r="X269" i="5" a="1"/>
  <c r="X269" i="5" s="1"/>
  <c r="AG231" i="5" a="1"/>
  <c r="AG231" i="5" s="1"/>
  <c r="AW231" i="5" a="1"/>
  <c r="AW231" i="5" s="1"/>
  <c r="AH231" i="5" a="1"/>
  <c r="AH231" i="5" s="1"/>
  <c r="AX231" i="5" a="1"/>
  <c r="AX231" i="5" s="1"/>
  <c r="AY231" i="5" a="1"/>
  <c r="AY231" i="5" s="1"/>
  <c r="T231" i="5" a="1"/>
  <c r="T231" i="5" s="1"/>
  <c r="AJ231" i="5" a="1"/>
  <c r="AJ231" i="5" s="1"/>
  <c r="AZ231" i="5" a="1"/>
  <c r="AZ231" i="5" s="1"/>
  <c r="U231" i="5" a="1"/>
  <c r="U231" i="5" s="1"/>
  <c r="AK231" i="5" a="1"/>
  <c r="AK231" i="5" s="1"/>
  <c r="V231" i="5" a="1"/>
  <c r="V231" i="5" s="1"/>
  <c r="AL231" i="5" a="1"/>
  <c r="AL231" i="5" s="1"/>
  <c r="W231" i="5" a="1"/>
  <c r="W231" i="5" s="1"/>
  <c r="AM231" i="5" a="1"/>
  <c r="AM231" i="5" s="1"/>
  <c r="X231" i="5" a="1"/>
  <c r="X231" i="5" s="1"/>
  <c r="AN231" i="5" a="1"/>
  <c r="AN231" i="5" s="1"/>
  <c r="Y231" i="5" a="1"/>
  <c r="Y231" i="5" s="1"/>
  <c r="AO231" i="5" a="1"/>
  <c r="AO231" i="5" s="1"/>
  <c r="Z231" i="5" a="1"/>
  <c r="Z231" i="5" s="1"/>
  <c r="AP231" i="5" a="1"/>
  <c r="AP231" i="5" s="1"/>
  <c r="AA231" i="5" a="1"/>
  <c r="AA231" i="5" s="1"/>
  <c r="AQ231" i="5" a="1"/>
  <c r="AQ231" i="5" s="1"/>
  <c r="AB231" i="5" a="1"/>
  <c r="AB231" i="5" s="1"/>
  <c r="AR231" i="5" a="1"/>
  <c r="AR231" i="5" s="1"/>
  <c r="AC231" i="5" a="1"/>
  <c r="AC231" i="5" s="1"/>
  <c r="AS231" i="5" a="1"/>
  <c r="AS231" i="5" s="1"/>
  <c r="AE231" i="5" a="1"/>
  <c r="AE231" i="5" s="1"/>
  <c r="H391" i="5"/>
  <c r="H392" i="5" s="1"/>
  <c r="E132" i="5" s="1"/>
  <c r="F132" i="5" s="1"/>
  <c r="Q390" i="5"/>
  <c r="Q388" i="5"/>
  <c r="Q387" i="5"/>
  <c r="Q385" i="5"/>
  <c r="Q386" i="5"/>
  <c r="Q389" i="5"/>
  <c r="H352" i="5"/>
  <c r="H353" i="5" s="1"/>
  <c r="E129" i="5" s="1"/>
  <c r="F129" i="5" s="1"/>
  <c r="H365" i="5"/>
  <c r="H366" i="5" s="1"/>
  <c r="E130" i="5" s="1"/>
  <c r="F130" i="5" s="1"/>
  <c r="H404" i="5"/>
  <c r="H405" i="5" s="1"/>
  <c r="E133" i="5" s="1"/>
  <c r="F133" i="5" s="1"/>
  <c r="H378" i="5"/>
  <c r="H379" i="5" s="1"/>
  <c r="E131" i="5" s="1"/>
  <c r="F131" i="5" s="1"/>
  <c r="Q349" i="5"/>
  <c r="H417" i="5"/>
  <c r="H418" i="5" s="1"/>
  <c r="E134" i="5" s="1"/>
  <c r="F134" i="5" s="1"/>
  <c r="Q440" i="5"/>
  <c r="Q441" i="5"/>
  <c r="Q442" i="5"/>
  <c r="Q425" i="5"/>
  <c r="Q424" i="5"/>
  <c r="Q413" i="5"/>
  <c r="Q416" i="5"/>
  <c r="Q414" i="5"/>
  <c r="Q415" i="5"/>
  <c r="Q402" i="5"/>
  <c r="Q399" i="5"/>
  <c r="Q401" i="5"/>
  <c r="Q400" i="5"/>
  <c r="Q398" i="5"/>
  <c r="Q403" i="5"/>
  <c r="Q373" i="5"/>
  <c r="Q372" i="5"/>
  <c r="Q374" i="5"/>
  <c r="Q375" i="5"/>
  <c r="Q376" i="5"/>
  <c r="Q377" i="5"/>
  <c r="Q363" i="5"/>
  <c r="Q364" i="5"/>
  <c r="Q362" i="5"/>
  <c r="Q360" i="5"/>
  <c r="Q359" i="5"/>
  <c r="Q348" i="5"/>
  <c r="Q347" i="5"/>
  <c r="Q350" i="5"/>
  <c r="Q346" i="5"/>
  <c r="Q351" i="5"/>
  <c r="H313" i="5"/>
  <c r="H314" i="5" s="1"/>
  <c r="E126" i="5" s="1"/>
  <c r="F126" i="5" s="1"/>
  <c r="H300" i="5"/>
  <c r="H301" i="5" s="1"/>
  <c r="E125" i="5" s="1"/>
  <c r="F125" i="5" s="1"/>
  <c r="H326" i="5"/>
  <c r="H327" i="5" s="1"/>
  <c r="E127" i="5" s="1"/>
  <c r="F127" i="5" s="1"/>
  <c r="Q321" i="5"/>
  <c r="H287" i="5"/>
  <c r="H288" i="5" s="1"/>
  <c r="E124" i="5" s="1"/>
  <c r="F124" i="5" s="1"/>
  <c r="H339" i="5"/>
  <c r="H340" i="5" s="1"/>
  <c r="E128" i="5" s="1"/>
  <c r="F128" i="5" s="1"/>
  <c r="Q296" i="5"/>
  <c r="Q297" i="5"/>
  <c r="Q334" i="5"/>
  <c r="Q335" i="5"/>
  <c r="Q337" i="5"/>
  <c r="Q338" i="5"/>
  <c r="Q336" i="5"/>
  <c r="Z333" i="5" a="1"/>
  <c r="Z333" i="5" s="1"/>
  <c r="AH333" i="5" a="1"/>
  <c r="AH333" i="5" s="1"/>
  <c r="AP333" i="5" a="1"/>
  <c r="AP333" i="5" s="1"/>
  <c r="AX333" i="5" a="1"/>
  <c r="AX333" i="5" s="1"/>
  <c r="AA333" i="5" a="1"/>
  <c r="AA333" i="5" s="1"/>
  <c r="AI333" i="5" a="1"/>
  <c r="AI333" i="5" s="1"/>
  <c r="AQ333" i="5" a="1"/>
  <c r="AQ333" i="5" s="1"/>
  <c r="AY333" i="5" a="1"/>
  <c r="AY333" i="5" s="1"/>
  <c r="T333" i="5" a="1"/>
  <c r="T333" i="5" s="1"/>
  <c r="AB333" i="5" a="1"/>
  <c r="AB333" i="5" s="1"/>
  <c r="AJ333" i="5" a="1"/>
  <c r="AJ333" i="5" s="1"/>
  <c r="AR333" i="5" a="1"/>
  <c r="AR333" i="5" s="1"/>
  <c r="AZ333" i="5" a="1"/>
  <c r="AZ333" i="5" s="1"/>
  <c r="U333" i="5" a="1"/>
  <c r="U333" i="5" s="1"/>
  <c r="AC333" i="5" a="1"/>
  <c r="AC333" i="5" s="1"/>
  <c r="AK333" i="5" a="1"/>
  <c r="AK333" i="5" s="1"/>
  <c r="AS333" i="5" a="1"/>
  <c r="AS333" i="5" s="1"/>
  <c r="V333" i="5" a="1"/>
  <c r="V333" i="5" s="1"/>
  <c r="AD333" i="5" a="1"/>
  <c r="AD333" i="5" s="1"/>
  <c r="AL333" i="5" a="1"/>
  <c r="AL333" i="5" s="1"/>
  <c r="AT333" i="5" a="1"/>
  <c r="AT333" i="5" s="1"/>
  <c r="W333" i="5" a="1"/>
  <c r="W333" i="5" s="1"/>
  <c r="AE333" i="5" a="1"/>
  <c r="AE333" i="5" s="1"/>
  <c r="AM333" i="5" a="1"/>
  <c r="AM333" i="5" s="1"/>
  <c r="AU333" i="5" a="1"/>
  <c r="AU333" i="5" s="1"/>
  <c r="X333" i="5" a="1"/>
  <c r="X333" i="5" s="1"/>
  <c r="AF333" i="5" a="1"/>
  <c r="AF333" i="5" s="1"/>
  <c r="AN333" i="5" a="1"/>
  <c r="AN333" i="5" s="1"/>
  <c r="AV333" i="5" a="1"/>
  <c r="AV333" i="5" s="1"/>
  <c r="Y333" i="5" a="1"/>
  <c r="Y333" i="5" s="1"/>
  <c r="AG333" i="5" a="1"/>
  <c r="AG333" i="5" s="1"/>
  <c r="AO333" i="5" a="1"/>
  <c r="AO333" i="5" s="1"/>
  <c r="Q325" i="5"/>
  <c r="Q322" i="5"/>
  <c r="Q323" i="5"/>
  <c r="Q324" i="5"/>
  <c r="Z320" i="5" a="1"/>
  <c r="Z320" i="5" s="1"/>
  <c r="AH320" i="5" a="1"/>
  <c r="AH320" i="5" s="1"/>
  <c r="AP320" i="5" a="1"/>
  <c r="AP320" i="5" s="1"/>
  <c r="AX320" i="5" a="1"/>
  <c r="AX320" i="5" s="1"/>
  <c r="T320" i="5" a="1"/>
  <c r="T320" i="5" s="1"/>
  <c r="AB320" i="5" a="1"/>
  <c r="AB320" i="5" s="1"/>
  <c r="AJ320" i="5" a="1"/>
  <c r="AJ320" i="5" s="1"/>
  <c r="AR320" i="5" a="1"/>
  <c r="AR320" i="5" s="1"/>
  <c r="AZ320" i="5" a="1"/>
  <c r="AZ320" i="5" s="1"/>
  <c r="U320" i="5" a="1"/>
  <c r="U320" i="5" s="1"/>
  <c r="AC320" i="5" a="1"/>
  <c r="AC320" i="5" s="1"/>
  <c r="AK320" i="5" a="1"/>
  <c r="AK320" i="5" s="1"/>
  <c r="AS320" i="5" a="1"/>
  <c r="AS320" i="5" s="1"/>
  <c r="X320" i="5" a="1"/>
  <c r="X320" i="5" s="1"/>
  <c r="AF320" i="5" a="1"/>
  <c r="AF320" i="5" s="1"/>
  <c r="AN320" i="5" a="1"/>
  <c r="AN320" i="5" s="1"/>
  <c r="AV320" i="5" a="1"/>
  <c r="AV320" i="5" s="1"/>
  <c r="Y320" i="5" a="1"/>
  <c r="Y320" i="5" s="1"/>
  <c r="AG320" i="5" a="1"/>
  <c r="AG320" i="5" s="1"/>
  <c r="AO320" i="5" a="1"/>
  <c r="AO320" i="5" s="1"/>
  <c r="Q309" i="5"/>
  <c r="Q310" i="5"/>
  <c r="Q311" i="5"/>
  <c r="Q308" i="5"/>
  <c r="Q312" i="5"/>
  <c r="Z307" i="5" a="1"/>
  <c r="Z307" i="5" s="1"/>
  <c r="AH307" i="5" a="1"/>
  <c r="AH307" i="5" s="1"/>
  <c r="AP307" i="5" a="1"/>
  <c r="AP307" i="5" s="1"/>
  <c r="AX307" i="5" a="1"/>
  <c r="AX307" i="5" s="1"/>
  <c r="AA307" i="5" a="1"/>
  <c r="AA307" i="5" s="1"/>
  <c r="AI307" i="5" a="1"/>
  <c r="AI307" i="5" s="1"/>
  <c r="AQ307" i="5" a="1"/>
  <c r="AQ307" i="5" s="1"/>
  <c r="AY307" i="5" a="1"/>
  <c r="AY307" i="5" s="1"/>
  <c r="T307" i="5" a="1"/>
  <c r="T307" i="5" s="1"/>
  <c r="AB307" i="5" a="1"/>
  <c r="AB307" i="5" s="1"/>
  <c r="AJ307" i="5" a="1"/>
  <c r="AJ307" i="5" s="1"/>
  <c r="AR307" i="5" a="1"/>
  <c r="AR307" i="5" s="1"/>
  <c r="AZ307" i="5" a="1"/>
  <c r="AZ307" i="5" s="1"/>
  <c r="U307" i="5" a="1"/>
  <c r="U307" i="5" s="1"/>
  <c r="AC307" i="5" a="1"/>
  <c r="AC307" i="5" s="1"/>
  <c r="AK307" i="5" a="1"/>
  <c r="AK307" i="5" s="1"/>
  <c r="AS307" i="5" a="1"/>
  <c r="AS307" i="5" s="1"/>
  <c r="V307" i="5" a="1"/>
  <c r="V307" i="5" s="1"/>
  <c r="AD307" i="5" a="1"/>
  <c r="AD307" i="5" s="1"/>
  <c r="AL307" i="5" a="1"/>
  <c r="AL307" i="5" s="1"/>
  <c r="AT307" i="5" a="1"/>
  <c r="AT307" i="5" s="1"/>
  <c r="X307" i="5" a="1"/>
  <c r="X307" i="5" s="1"/>
  <c r="AF307" i="5" a="1"/>
  <c r="AF307" i="5" s="1"/>
  <c r="AN307" i="5" a="1"/>
  <c r="AN307" i="5" s="1"/>
  <c r="Q295" i="5"/>
  <c r="Q299" i="5"/>
  <c r="Z294" i="5" a="1"/>
  <c r="Z294" i="5" s="1"/>
  <c r="AH294" i="5" a="1"/>
  <c r="AH294" i="5" s="1"/>
  <c r="AP294" i="5" a="1"/>
  <c r="AP294" i="5" s="1"/>
  <c r="AX294" i="5" a="1"/>
  <c r="AX294" i="5" s="1"/>
  <c r="AA294" i="5" a="1"/>
  <c r="AA294" i="5" s="1"/>
  <c r="AI294" i="5" a="1"/>
  <c r="AI294" i="5" s="1"/>
  <c r="AQ294" i="5" a="1"/>
  <c r="AQ294" i="5" s="1"/>
  <c r="AY294" i="5" a="1"/>
  <c r="AY294" i="5" s="1"/>
  <c r="T294" i="5" a="1"/>
  <c r="T294" i="5" s="1"/>
  <c r="AB294" i="5" a="1"/>
  <c r="AB294" i="5" s="1"/>
  <c r="AJ294" i="5" a="1"/>
  <c r="AJ294" i="5" s="1"/>
  <c r="AR294" i="5" a="1"/>
  <c r="AR294" i="5" s="1"/>
  <c r="AZ294" i="5" a="1"/>
  <c r="AZ294" i="5" s="1"/>
  <c r="U294" i="5" a="1"/>
  <c r="U294" i="5" s="1"/>
  <c r="AC294" i="5" a="1"/>
  <c r="AC294" i="5" s="1"/>
  <c r="AK294" i="5" a="1"/>
  <c r="AK294" i="5" s="1"/>
  <c r="AS294" i="5" a="1"/>
  <c r="AS294" i="5" s="1"/>
  <c r="X294" i="5" a="1"/>
  <c r="X294" i="5" s="1"/>
  <c r="AF294" i="5" a="1"/>
  <c r="AF294" i="5" s="1"/>
  <c r="AN294" i="5" a="1"/>
  <c r="AN294" i="5" s="1"/>
  <c r="Q286" i="5"/>
  <c r="Q282" i="5"/>
  <c r="Q284" i="5"/>
  <c r="Q283" i="5"/>
  <c r="Z281" i="5" a="1"/>
  <c r="Z281" i="5" s="1"/>
  <c r="AH281" i="5" a="1"/>
  <c r="AH281" i="5" s="1"/>
  <c r="AP281" i="5" a="1"/>
  <c r="AP281" i="5" s="1"/>
  <c r="AX281" i="5" a="1"/>
  <c r="AX281" i="5" s="1"/>
  <c r="AA281" i="5" a="1"/>
  <c r="AA281" i="5" s="1"/>
  <c r="AI281" i="5" a="1"/>
  <c r="AI281" i="5" s="1"/>
  <c r="AQ281" i="5" a="1"/>
  <c r="AQ281" i="5" s="1"/>
  <c r="AY281" i="5" a="1"/>
  <c r="AY281" i="5" s="1"/>
  <c r="T281" i="5" a="1"/>
  <c r="T281" i="5" s="1"/>
  <c r="AB281" i="5" a="1"/>
  <c r="AB281" i="5" s="1"/>
  <c r="AJ281" i="5" a="1"/>
  <c r="AJ281" i="5" s="1"/>
  <c r="AR281" i="5" a="1"/>
  <c r="AR281" i="5" s="1"/>
  <c r="AZ281" i="5" a="1"/>
  <c r="AZ281" i="5" s="1"/>
  <c r="U281" i="5" a="1"/>
  <c r="U281" i="5" s="1"/>
  <c r="AC281" i="5" a="1"/>
  <c r="AC281" i="5" s="1"/>
  <c r="AK281" i="5" a="1"/>
  <c r="AK281" i="5" s="1"/>
  <c r="AS281" i="5" a="1"/>
  <c r="AS281" i="5" s="1"/>
  <c r="V281" i="5" a="1"/>
  <c r="V281" i="5" s="1"/>
  <c r="AD281" i="5" a="1"/>
  <c r="AD281" i="5" s="1"/>
  <c r="AL281" i="5" a="1"/>
  <c r="AL281" i="5" s="1"/>
  <c r="AT281" i="5" a="1"/>
  <c r="AT281" i="5" s="1"/>
  <c r="X281" i="5" a="1"/>
  <c r="X281" i="5" s="1"/>
  <c r="AF281" i="5" a="1"/>
  <c r="AF281" i="5" s="1"/>
  <c r="AN281" i="5" a="1"/>
  <c r="AN281" i="5" s="1"/>
  <c r="R256" i="5"/>
  <c r="G256" i="5" s="1"/>
  <c r="H256" i="5" s="1"/>
  <c r="R257" i="5"/>
  <c r="G257" i="5" s="1"/>
  <c r="H257" i="5" s="1"/>
  <c r="R258" i="5"/>
  <c r="G258" i="5" s="1"/>
  <c r="H258" i="5" s="1"/>
  <c r="R259" i="5"/>
  <c r="G259" i="5" s="1"/>
  <c r="H259" i="5" s="1"/>
  <c r="Q221" i="5"/>
  <c r="H235" i="5"/>
  <c r="H236" i="5" s="1"/>
  <c r="E120" i="5" s="1"/>
  <c r="Q246" i="5"/>
  <c r="AD270" i="5" a="1"/>
  <c r="AD270" i="5" s="1"/>
  <c r="AQ270" i="5" a="1"/>
  <c r="AQ270" i="5" s="1"/>
  <c r="AS270" i="5" a="1"/>
  <c r="AS270" i="5" s="1"/>
  <c r="AF270" i="5" a="1"/>
  <c r="AF270" i="5" s="1"/>
  <c r="AT270" i="5" a="1"/>
  <c r="AT270" i="5" s="1"/>
  <c r="T270" i="5" a="1"/>
  <c r="T270" i="5" s="1"/>
  <c r="AH270" i="5" a="1"/>
  <c r="AH270" i="5" s="1"/>
  <c r="U270" i="5" a="1"/>
  <c r="U270" i="5" s="1"/>
  <c r="AI270" i="5" a="1"/>
  <c r="AI270" i="5" s="1"/>
  <c r="AV270" i="5" a="1"/>
  <c r="AV270" i="5" s="1"/>
  <c r="V270" i="5" a="1"/>
  <c r="V270" i="5" s="1"/>
  <c r="AJ270" i="5" a="1"/>
  <c r="AJ270" i="5" s="1"/>
  <c r="AW270" i="5" a="1"/>
  <c r="AW270" i="5" s="1"/>
  <c r="Y270" i="5" a="1"/>
  <c r="Y270" i="5" s="1"/>
  <c r="AZ270" i="5" a="1"/>
  <c r="AZ270" i="5" s="1"/>
  <c r="Q271" i="5"/>
  <c r="Q272" i="5"/>
  <c r="H274" i="5"/>
  <c r="H275" i="5" s="1"/>
  <c r="E123" i="5" s="1"/>
  <c r="F123" i="5" s="1"/>
  <c r="Q273" i="5"/>
  <c r="Q260" i="5"/>
  <c r="H248" i="5"/>
  <c r="H249" i="5" s="1"/>
  <c r="E121" i="5" s="1"/>
  <c r="Q244" i="5"/>
  <c r="Q245" i="5"/>
  <c r="Q243" i="5"/>
  <c r="Q247" i="5"/>
  <c r="Q230" i="5"/>
  <c r="Q232" i="5"/>
  <c r="Q233" i="5"/>
  <c r="Q234" i="5"/>
  <c r="R203" i="5"/>
  <c r="G203" i="5" s="1"/>
  <c r="H203" i="5" s="1"/>
  <c r="W206" i="5" a="1"/>
  <c r="W206" i="5" s="1"/>
  <c r="AA205" i="5" a="1"/>
  <c r="AA205" i="5" s="1"/>
  <c r="AI205" i="5" a="1"/>
  <c r="AI205" i="5" s="1"/>
  <c r="AQ205" i="5" a="1"/>
  <c r="AQ205" i="5" s="1"/>
  <c r="AY205" i="5" a="1"/>
  <c r="AY205" i="5" s="1"/>
  <c r="X206" i="5" a="1"/>
  <c r="X206" i="5" s="1"/>
  <c r="AF206" i="5" a="1"/>
  <c r="AF206" i="5" s="1"/>
  <c r="AN206" i="5" a="1"/>
  <c r="AN206" i="5" s="1"/>
  <c r="AV206" i="5" a="1"/>
  <c r="AV206" i="5" s="1"/>
  <c r="Y208" i="5" a="1"/>
  <c r="Y208" i="5" s="1"/>
  <c r="AG208" i="5" a="1"/>
  <c r="AG208" i="5" s="1"/>
  <c r="AO208" i="5" a="1"/>
  <c r="AO208" i="5" s="1"/>
  <c r="AW208" i="5" a="1"/>
  <c r="AW208" i="5" s="1"/>
  <c r="W204" i="5" a="1"/>
  <c r="W204" i="5" s="1"/>
  <c r="AU204" i="5" a="1"/>
  <c r="AU204" i="5" s="1"/>
  <c r="T205" i="5" a="1"/>
  <c r="T205" i="5" s="1"/>
  <c r="AB205" i="5" a="1"/>
  <c r="AB205" i="5" s="1"/>
  <c r="AJ205" i="5" a="1"/>
  <c r="AJ205" i="5" s="1"/>
  <c r="AR205" i="5" a="1"/>
  <c r="AR205" i="5" s="1"/>
  <c r="AZ205" i="5" a="1"/>
  <c r="AZ205" i="5" s="1"/>
  <c r="AE206" i="5" a="1"/>
  <c r="AE206" i="5" s="1"/>
  <c r="X204" i="5" a="1"/>
  <c r="X204" i="5" s="1"/>
  <c r="AF204" i="5" a="1"/>
  <c r="AF204" i="5" s="1"/>
  <c r="AN204" i="5" a="1"/>
  <c r="AN204" i="5" s="1"/>
  <c r="AV204" i="5" a="1"/>
  <c r="AV204" i="5" s="1"/>
  <c r="Y206" i="5" a="1"/>
  <c r="Y206" i="5" s="1"/>
  <c r="AG206" i="5" a="1"/>
  <c r="AG206" i="5" s="1"/>
  <c r="AO206" i="5" a="1"/>
  <c r="AO206" i="5" s="1"/>
  <c r="AW206" i="5" a="1"/>
  <c r="AW206" i="5" s="1"/>
  <c r="Z208" i="5" a="1"/>
  <c r="Z208" i="5" s="1"/>
  <c r="AH208" i="5" a="1"/>
  <c r="AH208" i="5" s="1"/>
  <c r="AP208" i="5" a="1"/>
  <c r="AP208" i="5" s="1"/>
  <c r="AX208" i="5" a="1"/>
  <c r="AX208" i="5" s="1"/>
  <c r="AM206" i="5" a="1"/>
  <c r="AM206" i="5" s="1"/>
  <c r="AE204" i="5" a="1"/>
  <c r="AE204" i="5" s="1"/>
  <c r="U205" i="5" a="1"/>
  <c r="U205" i="5" s="1"/>
  <c r="AC205" i="5" a="1"/>
  <c r="AC205" i="5" s="1"/>
  <c r="AK205" i="5" a="1"/>
  <c r="AK205" i="5" s="1"/>
  <c r="AS205" i="5" a="1"/>
  <c r="AS205" i="5" s="1"/>
  <c r="AU206" i="5" a="1"/>
  <c r="AU206" i="5" s="1"/>
  <c r="AM204" i="5" a="1"/>
  <c r="AM204" i="5" s="1"/>
  <c r="Y204" i="5" a="1"/>
  <c r="Y204" i="5" s="1"/>
  <c r="AG204" i="5" a="1"/>
  <c r="AG204" i="5" s="1"/>
  <c r="AO204" i="5" a="1"/>
  <c r="AO204" i="5" s="1"/>
  <c r="AW204" i="5" a="1"/>
  <c r="AW204" i="5" s="1"/>
  <c r="Z206" i="5" a="1"/>
  <c r="Z206" i="5" s="1"/>
  <c r="AH206" i="5" a="1"/>
  <c r="AH206" i="5" s="1"/>
  <c r="AP206" i="5" a="1"/>
  <c r="AP206" i="5" s="1"/>
  <c r="AX206" i="5" a="1"/>
  <c r="AX206" i="5" s="1"/>
  <c r="AA208" i="5" a="1"/>
  <c r="AA208" i="5" s="1"/>
  <c r="AI208" i="5" a="1"/>
  <c r="AI208" i="5" s="1"/>
  <c r="AQ208" i="5" a="1"/>
  <c r="AQ208" i="5" s="1"/>
  <c r="AY208" i="5" a="1"/>
  <c r="AY208" i="5" s="1"/>
  <c r="AL205" i="5" a="1"/>
  <c r="AL205" i="5" s="1"/>
  <c r="Z204" i="5" a="1"/>
  <c r="Z204" i="5" s="1"/>
  <c r="AH204" i="5" a="1"/>
  <c r="AH204" i="5" s="1"/>
  <c r="AP204" i="5" a="1"/>
  <c r="AP204" i="5" s="1"/>
  <c r="AX204" i="5" a="1"/>
  <c r="AX204" i="5" s="1"/>
  <c r="AA206" i="5" a="1"/>
  <c r="AA206" i="5" s="1"/>
  <c r="AI206" i="5" a="1"/>
  <c r="AI206" i="5" s="1"/>
  <c r="AQ206" i="5" a="1"/>
  <c r="AQ206" i="5" s="1"/>
  <c r="AY206" i="5" a="1"/>
  <c r="AY206" i="5" s="1"/>
  <c r="T208" i="5" a="1"/>
  <c r="T208" i="5" s="1"/>
  <c r="AB208" i="5" a="1"/>
  <c r="AB208" i="5" s="1"/>
  <c r="AJ208" i="5" a="1"/>
  <c r="AJ208" i="5" s="1"/>
  <c r="AR208" i="5" a="1"/>
  <c r="AR208" i="5" s="1"/>
  <c r="AZ208" i="5" a="1"/>
  <c r="AZ208" i="5" s="1"/>
  <c r="V205" i="5" a="1"/>
  <c r="V205" i="5" s="1"/>
  <c r="W205" i="5" a="1"/>
  <c r="W205" i="5" s="1"/>
  <c r="AE205" i="5" a="1"/>
  <c r="AE205" i="5" s="1"/>
  <c r="AM205" i="5" a="1"/>
  <c r="AM205" i="5" s="1"/>
  <c r="AU205" i="5" a="1"/>
  <c r="AU205" i="5" s="1"/>
  <c r="AA204" i="5" a="1"/>
  <c r="AA204" i="5" s="1"/>
  <c r="AI204" i="5" a="1"/>
  <c r="AI204" i="5" s="1"/>
  <c r="AQ204" i="5" a="1"/>
  <c r="AQ204" i="5" s="1"/>
  <c r="AY204" i="5" a="1"/>
  <c r="AY204" i="5" s="1"/>
  <c r="T206" i="5" a="1"/>
  <c r="T206" i="5" s="1"/>
  <c r="AB206" i="5" a="1"/>
  <c r="AB206" i="5" s="1"/>
  <c r="AJ206" i="5" a="1"/>
  <c r="AJ206" i="5" s="1"/>
  <c r="AR206" i="5" a="1"/>
  <c r="AR206" i="5" s="1"/>
  <c r="AZ206" i="5" a="1"/>
  <c r="AZ206" i="5" s="1"/>
  <c r="U208" i="5" a="1"/>
  <c r="U208" i="5" s="1"/>
  <c r="AC208" i="5" a="1"/>
  <c r="AC208" i="5" s="1"/>
  <c r="AK208" i="5" a="1"/>
  <c r="AK208" i="5" s="1"/>
  <c r="AS208" i="5" a="1"/>
  <c r="AS208" i="5" s="1"/>
  <c r="AD205" i="5" a="1"/>
  <c r="AD205" i="5" s="1"/>
  <c r="AT205" i="5" a="1"/>
  <c r="AT205" i="5" s="1"/>
  <c r="AF205" i="5" a="1"/>
  <c r="AF205" i="5" s="1"/>
  <c r="T204" i="5" a="1"/>
  <c r="T204" i="5" s="1"/>
  <c r="AB204" i="5" a="1"/>
  <c r="AB204" i="5" s="1"/>
  <c r="AJ204" i="5" a="1"/>
  <c r="AJ204" i="5" s="1"/>
  <c r="AR204" i="5" a="1"/>
  <c r="AR204" i="5" s="1"/>
  <c r="AZ204" i="5" a="1"/>
  <c r="AZ204" i="5" s="1"/>
  <c r="U206" i="5" a="1"/>
  <c r="U206" i="5" s="1"/>
  <c r="AC206" i="5" a="1"/>
  <c r="AC206" i="5" s="1"/>
  <c r="AK206" i="5" a="1"/>
  <c r="AK206" i="5" s="1"/>
  <c r="AS206" i="5" a="1"/>
  <c r="AS206" i="5" s="1"/>
  <c r="V208" i="5" a="1"/>
  <c r="V208" i="5" s="1"/>
  <c r="AD208" i="5" a="1"/>
  <c r="AD208" i="5" s="1"/>
  <c r="AL208" i="5" a="1"/>
  <c r="AL208" i="5" s="1"/>
  <c r="AT208" i="5" a="1"/>
  <c r="AT208" i="5" s="1"/>
  <c r="X205" i="5" a="1"/>
  <c r="X205" i="5" s="1"/>
  <c r="AV205" i="5" a="1"/>
  <c r="AV205" i="5" s="1"/>
  <c r="Y205" i="5" a="1"/>
  <c r="Y205" i="5" s="1"/>
  <c r="AG205" i="5" a="1"/>
  <c r="AG205" i="5" s="1"/>
  <c r="AO205" i="5" a="1"/>
  <c r="AO205" i="5" s="1"/>
  <c r="AW205" i="5" a="1"/>
  <c r="AW205" i="5" s="1"/>
  <c r="AN205" i="5" a="1"/>
  <c r="AN205" i="5" s="1"/>
  <c r="U204" i="5" a="1"/>
  <c r="U204" i="5" s="1"/>
  <c r="AC204" i="5" a="1"/>
  <c r="AC204" i="5" s="1"/>
  <c r="AK204" i="5" a="1"/>
  <c r="AK204" i="5" s="1"/>
  <c r="V206" i="5" a="1"/>
  <c r="V206" i="5" s="1"/>
  <c r="AD206" i="5" a="1"/>
  <c r="AD206" i="5" s="1"/>
  <c r="AL206" i="5" a="1"/>
  <c r="AL206" i="5" s="1"/>
  <c r="W208" i="5" a="1"/>
  <c r="W208" i="5" s="1"/>
  <c r="AE208" i="5" a="1"/>
  <c r="AE208" i="5" s="1"/>
  <c r="AM208" i="5" a="1"/>
  <c r="AM208" i="5" s="1"/>
  <c r="Z205" i="5" a="1"/>
  <c r="Z205" i="5" s="1"/>
  <c r="AH205" i="5" a="1"/>
  <c r="AH205" i="5" s="1"/>
  <c r="AP205" i="5" a="1"/>
  <c r="AP205" i="5" s="1"/>
  <c r="R190" i="5"/>
  <c r="R191" i="5"/>
  <c r="G191" i="5" s="1"/>
  <c r="H191" i="5" s="1"/>
  <c r="R192" i="5"/>
  <c r="G192" i="5" s="1"/>
  <c r="H192" i="5" s="1"/>
  <c r="R193" i="5"/>
  <c r="G193" i="5" s="1"/>
  <c r="H193" i="5" s="1"/>
  <c r="B13" i="13"/>
  <c r="B70" i="10"/>
  <c r="G101" i="20"/>
  <c r="D11" i="22" l="1"/>
  <c r="D12" i="22" s="1"/>
  <c r="B110" i="19"/>
  <c r="G10" i="19"/>
  <c r="C48" i="2"/>
  <c r="G27" i="2"/>
  <c r="G28" i="2"/>
  <c r="E54" i="22" s="1"/>
  <c r="Q439" i="5"/>
  <c r="H443" i="5"/>
  <c r="H444" i="5" s="1"/>
  <c r="E136" i="5" s="1"/>
  <c r="F136" i="5" s="1"/>
  <c r="S443" i="5"/>
  <c r="R443" i="5"/>
  <c r="Q438" i="5"/>
  <c r="Q437" i="5"/>
  <c r="S222" i="5"/>
  <c r="H222" i="5"/>
  <c r="H223" i="5" s="1"/>
  <c r="E119" i="5" s="1"/>
  <c r="Q220" i="5"/>
  <c r="Q411" i="5"/>
  <c r="Q219" i="5"/>
  <c r="R222" i="5"/>
  <c r="B222" i="5" s="1"/>
  <c r="B111" i="19"/>
  <c r="Q218" i="5"/>
  <c r="Q412" i="5"/>
  <c r="U417" i="5"/>
  <c r="B418" i="5" s="1"/>
  <c r="G131" i="5"/>
  <c r="G124" i="5"/>
  <c r="G120" i="5"/>
  <c r="G127" i="5"/>
  <c r="B275" i="5"/>
  <c r="G123" i="5"/>
  <c r="G121" i="5"/>
  <c r="G128" i="5"/>
  <c r="B392" i="5"/>
  <c r="G132" i="5"/>
  <c r="Q217" i="5"/>
  <c r="H32" i="7"/>
  <c r="G14" i="19"/>
  <c r="H45" i="2"/>
  <c r="E42" i="22" s="1"/>
  <c r="H42" i="22" s="1"/>
  <c r="S209" i="5"/>
  <c r="Q207" i="5"/>
  <c r="E44" i="2"/>
  <c r="D41" i="22" s="1"/>
  <c r="E47" i="2"/>
  <c r="D44" i="22" s="1"/>
  <c r="G56" i="19"/>
  <c r="G42" i="5"/>
  <c r="G44" i="5" s="1"/>
  <c r="B150" i="5" s="1"/>
  <c r="D392" i="5"/>
  <c r="B35" i="19"/>
  <c r="E43" i="2"/>
  <c r="H28" i="7"/>
  <c r="B274" i="5"/>
  <c r="U404" i="5"/>
  <c r="B235" i="5"/>
  <c r="B417" i="5"/>
  <c r="U300" i="5"/>
  <c r="U352" i="5"/>
  <c r="U365" i="5"/>
  <c r="B326" i="5"/>
  <c r="U313" i="5"/>
  <c r="D236" i="5"/>
  <c r="C236" i="5"/>
  <c r="B236" i="5"/>
  <c r="B391" i="5"/>
  <c r="D249" i="5"/>
  <c r="C249" i="5"/>
  <c r="B249" i="5"/>
  <c r="B288" i="5"/>
  <c r="D288" i="5"/>
  <c r="C288" i="5"/>
  <c r="B340" i="5"/>
  <c r="D340" i="5"/>
  <c r="C340" i="5"/>
  <c r="B339" i="5"/>
  <c r="B248" i="5"/>
  <c r="D275" i="5"/>
  <c r="H430" i="5"/>
  <c r="H431" i="5" s="1"/>
  <c r="E135" i="5" s="1"/>
  <c r="F135" i="5" s="1"/>
  <c r="B378" i="5"/>
  <c r="B287" i="5"/>
  <c r="S430" i="5"/>
  <c r="C392" i="5"/>
  <c r="D379" i="5"/>
  <c r="C379" i="5"/>
  <c r="B379" i="5"/>
  <c r="C327" i="5"/>
  <c r="B327" i="5"/>
  <c r="D327" i="5"/>
  <c r="C275" i="5"/>
  <c r="S261" i="5"/>
  <c r="R261" i="5"/>
  <c r="S196" i="5"/>
  <c r="G190" i="5"/>
  <c r="H190" i="5" s="1"/>
  <c r="R196" i="5"/>
  <c r="H209" i="5"/>
  <c r="H210" i="5" s="1"/>
  <c r="E118" i="5" s="1"/>
  <c r="R209" i="5"/>
  <c r="R430" i="5"/>
  <c r="Q361" i="5"/>
  <c r="Q298" i="5"/>
  <c r="Q285" i="5"/>
  <c r="Q269" i="5"/>
  <c r="Q231" i="5"/>
  <c r="Q333" i="5"/>
  <c r="Q320" i="5"/>
  <c r="Q307" i="5"/>
  <c r="Q294" i="5"/>
  <c r="Q281" i="5"/>
  <c r="H261" i="5"/>
  <c r="H262" i="5" s="1"/>
  <c r="E122" i="5" s="1"/>
  <c r="F122" i="5" s="1"/>
  <c r="Q270" i="5"/>
  <c r="Q206" i="5"/>
  <c r="Q208" i="5"/>
  <c r="Q205" i="5"/>
  <c r="Q204" i="5"/>
  <c r="D4" i="19"/>
  <c r="H22" i="17"/>
  <c r="H69" i="17"/>
  <c r="G69" i="17"/>
  <c r="H68" i="17"/>
  <c r="G68" i="17"/>
  <c r="H67" i="17"/>
  <c r="G67" i="17"/>
  <c r="H66" i="17"/>
  <c r="G66" i="17"/>
  <c r="H65" i="17"/>
  <c r="G65" i="17"/>
  <c r="H64" i="17"/>
  <c r="G64" i="17"/>
  <c r="H63" i="17"/>
  <c r="G63" i="17"/>
  <c r="H62" i="17"/>
  <c r="G62" i="17"/>
  <c r="H61" i="17"/>
  <c r="G61" i="17"/>
  <c r="H60" i="17"/>
  <c r="G60" i="17"/>
  <c r="H59" i="17"/>
  <c r="G59" i="17"/>
  <c r="H58" i="17"/>
  <c r="G58" i="17"/>
  <c r="H57" i="17"/>
  <c r="G57" i="17"/>
  <c r="H56" i="17"/>
  <c r="G56" i="17"/>
  <c r="H55" i="17"/>
  <c r="G55" i="17"/>
  <c r="H54" i="17"/>
  <c r="G54" i="17"/>
  <c r="H53" i="17"/>
  <c r="G53" i="17"/>
  <c r="H52" i="17"/>
  <c r="G52" i="17"/>
  <c r="H51" i="17"/>
  <c r="G51" i="17"/>
  <c r="H50" i="17"/>
  <c r="G50" i="17"/>
  <c r="H49" i="17"/>
  <c r="G49" i="17"/>
  <c r="H48" i="17"/>
  <c r="G48" i="17"/>
  <c r="H47" i="17"/>
  <c r="G47" i="17"/>
  <c r="H46" i="17"/>
  <c r="G46" i="17"/>
  <c r="H45" i="17"/>
  <c r="G45" i="17"/>
  <c r="H44" i="17"/>
  <c r="G44" i="17"/>
  <c r="H43" i="17"/>
  <c r="G43" i="17"/>
  <c r="H42" i="17"/>
  <c r="G42" i="17"/>
  <c r="H41" i="17"/>
  <c r="G41" i="17"/>
  <c r="H40" i="17"/>
  <c r="G40" i="17"/>
  <c r="H39" i="17"/>
  <c r="G39" i="17"/>
  <c r="H38" i="17"/>
  <c r="G38" i="17"/>
  <c r="H37" i="17"/>
  <c r="G37" i="17"/>
  <c r="H36" i="17"/>
  <c r="G36" i="17"/>
  <c r="H35" i="17"/>
  <c r="G35" i="17"/>
  <c r="H34" i="17"/>
  <c r="G34" i="17"/>
  <c r="H33" i="17"/>
  <c r="G33" i="17"/>
  <c r="H32" i="17"/>
  <c r="G32" i="17"/>
  <c r="H31" i="17"/>
  <c r="G31" i="17"/>
  <c r="H30" i="17"/>
  <c r="G30" i="17"/>
  <c r="H29" i="17"/>
  <c r="G29" i="17"/>
  <c r="H28" i="17"/>
  <c r="G28" i="17"/>
  <c r="H27" i="17"/>
  <c r="G27" i="17"/>
  <c r="H26" i="17"/>
  <c r="G26" i="17"/>
  <c r="H25" i="17"/>
  <c r="G25" i="17"/>
  <c r="H24" i="17"/>
  <c r="H23" i="17"/>
  <c r="G22" i="17"/>
  <c r="H21" i="17"/>
  <c r="G21" i="17"/>
  <c r="D241" i="2"/>
  <c r="D239" i="2"/>
  <c r="D238" i="2"/>
  <c r="D237" i="2"/>
  <c r="D236" i="2"/>
  <c r="H43" i="2" l="1"/>
  <c r="E40" i="22" s="1"/>
  <c r="H40" i="22" s="1"/>
  <c r="D40" i="22"/>
  <c r="G58" i="19"/>
  <c r="B60" i="19" s="1"/>
  <c r="D73" i="22"/>
  <c r="E73" i="22" s="1"/>
  <c r="H73" i="22" s="1"/>
  <c r="G54" i="22"/>
  <c r="F54" i="22"/>
  <c r="G42" i="22"/>
  <c r="G36" i="22"/>
  <c r="B33" i="8"/>
  <c r="B52" i="4"/>
  <c r="H70" i="17"/>
  <c r="B13" i="17" s="1"/>
  <c r="U443" i="5"/>
  <c r="G136" i="5" s="1"/>
  <c r="B443" i="5"/>
  <c r="U222" i="5"/>
  <c r="G119" i="5" s="1"/>
  <c r="D418" i="5"/>
  <c r="C418" i="5"/>
  <c r="G134" i="5"/>
  <c r="C314" i="5"/>
  <c r="G126" i="5"/>
  <c r="G130" i="5"/>
  <c r="D353" i="5"/>
  <c r="G129" i="5"/>
  <c r="C301" i="5"/>
  <c r="G125" i="5"/>
  <c r="B405" i="5"/>
  <c r="G133" i="5"/>
  <c r="E39" i="2"/>
  <c r="B45" i="5"/>
  <c r="B301" i="5"/>
  <c r="D405" i="5"/>
  <c r="C405" i="5"/>
  <c r="D301" i="5"/>
  <c r="C353" i="5"/>
  <c r="B353" i="5"/>
  <c r="D366" i="5"/>
  <c r="C366" i="5"/>
  <c r="B366" i="5"/>
  <c r="B314" i="5"/>
  <c r="D314" i="5"/>
  <c r="B430" i="5"/>
  <c r="U430" i="5"/>
  <c r="B261" i="5"/>
  <c r="U261" i="5"/>
  <c r="U209" i="5"/>
  <c r="B209" i="5"/>
  <c r="B196" i="5"/>
  <c r="U196" i="5"/>
  <c r="P268" i="5"/>
  <c r="P427" i="5"/>
  <c r="AX268" i="5" a="1"/>
  <c r="AX268" i="5" s="1"/>
  <c r="X268" i="5" a="1"/>
  <c r="X268" i="5" s="1"/>
  <c r="W268" i="5" a="1"/>
  <c r="W268" i="5" s="1"/>
  <c r="AZ268" i="5" a="1"/>
  <c r="AZ268" i="5" s="1"/>
  <c r="V268" i="5" a="1"/>
  <c r="V268" i="5" s="1"/>
  <c r="AY268" i="5" a="1"/>
  <c r="AY268" i="5" s="1"/>
  <c r="U268" i="5" a="1"/>
  <c r="U268" i="5" s="1"/>
  <c r="AW268" i="5" a="1"/>
  <c r="AW268" i="5" s="1"/>
  <c r="T268" i="5" a="1"/>
  <c r="T268" i="5" s="1"/>
  <c r="AU268" i="5" a="1"/>
  <c r="AU268" i="5" s="1"/>
  <c r="AO268" i="5" a="1"/>
  <c r="AO268" i="5" s="1"/>
  <c r="AN268" i="5" a="1"/>
  <c r="AN268" i="5" s="1"/>
  <c r="AM268" i="5" a="1"/>
  <c r="AM268" i="5" s="1"/>
  <c r="AL268" i="5" a="1"/>
  <c r="AL268" i="5" s="1"/>
  <c r="AK268" i="5" a="1"/>
  <c r="AK268" i="5" s="1"/>
  <c r="AJ268" i="5" a="1"/>
  <c r="AJ268" i="5" s="1"/>
  <c r="AE268" i="5" a="1"/>
  <c r="AE268" i="5" s="1"/>
  <c r="Y268" i="5" a="1"/>
  <c r="Y268" i="5" s="1"/>
  <c r="AI268" i="5" a="1"/>
  <c r="AI268" i="5" s="1"/>
  <c r="AG268" i="5" a="1"/>
  <c r="AG268" i="5" s="1"/>
  <c r="AV268" i="5" a="1"/>
  <c r="AV268" i="5" s="1"/>
  <c r="Z268" i="5" a="1"/>
  <c r="Z268" i="5" s="1"/>
  <c r="AH268" i="5" a="1"/>
  <c r="AH268" i="5" s="1"/>
  <c r="AP268" i="5" a="1"/>
  <c r="AP268" i="5" s="1"/>
  <c r="AF268" i="5" a="1"/>
  <c r="AF268" i="5" s="1"/>
  <c r="AA268" i="5" a="1"/>
  <c r="AA268" i="5" s="1"/>
  <c r="AQ268" i="5" a="1"/>
  <c r="AQ268" i="5" s="1"/>
  <c r="AB268" i="5" a="1"/>
  <c r="AB268" i="5" s="1"/>
  <c r="AR268" i="5" a="1"/>
  <c r="AR268" i="5" s="1"/>
  <c r="AT268" i="5" a="1"/>
  <c r="AT268" i="5" s="1"/>
  <c r="AC268" i="5" a="1"/>
  <c r="AC268" i="5" s="1"/>
  <c r="AS268" i="5" a="1"/>
  <c r="AS268" i="5" s="1"/>
  <c r="AD268" i="5" a="1"/>
  <c r="AD268" i="5" s="1"/>
  <c r="P426" i="5"/>
  <c r="D4" i="4"/>
  <c r="E17" i="18"/>
  <c r="D4" i="18"/>
  <c r="P194" i="5"/>
  <c r="AO194" i="5" s="1" a="1"/>
  <c r="AO194" i="5" s="1"/>
  <c r="G12" i="19" l="1"/>
  <c r="H30" i="7"/>
  <c r="E46" i="2"/>
  <c r="D43" i="22" s="1"/>
  <c r="G40" i="22"/>
  <c r="C444" i="5"/>
  <c r="D444" i="5"/>
  <c r="B444" i="5"/>
  <c r="D223" i="5"/>
  <c r="B223" i="5"/>
  <c r="C223" i="5"/>
  <c r="G135" i="5"/>
  <c r="G117" i="5"/>
  <c r="G118" i="5"/>
  <c r="G122" i="5"/>
  <c r="Z194" i="5" a="1"/>
  <c r="Z194" i="5" s="1"/>
  <c r="AX194" i="5" a="1"/>
  <c r="AX194" i="5" s="1"/>
  <c r="AP194" i="5" a="1"/>
  <c r="AP194" i="5" s="1"/>
  <c r="AA194" i="5" a="1"/>
  <c r="AA194" i="5" s="1"/>
  <c r="AQ194" i="5" a="1"/>
  <c r="AQ194" i="5" s="1"/>
  <c r="AH194" i="5" a="1"/>
  <c r="AH194" i="5" s="1"/>
  <c r="AR194" i="5" a="1"/>
  <c r="AR194" i="5" s="1"/>
  <c r="AC194" i="5" a="1"/>
  <c r="AC194" i="5" s="1"/>
  <c r="AS194" i="5" a="1"/>
  <c r="AS194" i="5" s="1"/>
  <c r="AB194" i="5" a="1"/>
  <c r="AB194" i="5" s="1"/>
  <c r="AD194" i="5" a="1"/>
  <c r="AD194" i="5" s="1"/>
  <c r="AT194" i="5" a="1"/>
  <c r="AT194" i="5" s="1"/>
  <c r="AE194" i="5" a="1"/>
  <c r="AE194" i="5" s="1"/>
  <c r="AU194" i="5" a="1"/>
  <c r="AU194" i="5" s="1"/>
  <c r="AF194" i="5" a="1"/>
  <c r="AF194" i="5" s="1"/>
  <c r="AV194" i="5" a="1"/>
  <c r="AV194" i="5" s="1"/>
  <c r="AG194" i="5" a="1"/>
  <c r="AG194" i="5" s="1"/>
  <c r="AW194" i="5" a="1"/>
  <c r="AW194" i="5" s="1"/>
  <c r="AI194" i="5" a="1"/>
  <c r="AI194" i="5" s="1"/>
  <c r="AY194" i="5" a="1"/>
  <c r="AY194" i="5" s="1"/>
  <c r="Y194" i="5" a="1"/>
  <c r="Y194" i="5" s="1"/>
  <c r="AJ194" i="5" a="1"/>
  <c r="AJ194" i="5" s="1"/>
  <c r="AZ194" i="5" a="1"/>
  <c r="AZ194" i="5" s="1"/>
  <c r="X194" i="5" a="1"/>
  <c r="X194" i="5" s="1"/>
  <c r="AK194" i="5" a="1"/>
  <c r="AK194" i="5" s="1"/>
  <c r="W194" i="5" a="1"/>
  <c r="W194" i="5" s="1"/>
  <c r="AL194" i="5" a="1"/>
  <c r="AL194" i="5" s="1"/>
  <c r="V194" i="5" a="1"/>
  <c r="V194" i="5" s="1"/>
  <c r="AM194" i="5" a="1"/>
  <c r="AM194" i="5" s="1"/>
  <c r="U194" i="5" a="1"/>
  <c r="U194" i="5" s="1"/>
  <c r="AN194" i="5" a="1"/>
  <c r="AN194" i="5" s="1"/>
  <c r="T194" i="5" a="1"/>
  <c r="T194" i="5" s="1"/>
  <c r="B431" i="5"/>
  <c r="C431" i="5"/>
  <c r="D431" i="5"/>
  <c r="D210" i="5"/>
  <c r="C210" i="5"/>
  <c r="B210" i="5"/>
  <c r="D197" i="5"/>
  <c r="C197" i="5"/>
  <c r="B197" i="5"/>
  <c r="C262" i="5"/>
  <c r="B262" i="5"/>
  <c r="D262" i="5"/>
  <c r="AY426" i="5" a="1"/>
  <c r="AY426" i="5" s="1"/>
  <c r="AU426" i="5" a="1"/>
  <c r="AU426" i="5" s="1"/>
  <c r="AT426" i="5" a="1"/>
  <c r="AT426" i="5" s="1"/>
  <c r="AS426" i="5" a="1"/>
  <c r="AS426" i="5" s="1"/>
  <c r="AK426" i="5" a="1"/>
  <c r="AK426" i="5" s="1"/>
  <c r="AJ426" i="5" a="1"/>
  <c r="AJ426" i="5" s="1"/>
  <c r="AE426" i="5" a="1"/>
  <c r="AE426" i="5" s="1"/>
  <c r="AD426" i="5" a="1"/>
  <c r="AD426" i="5" s="1"/>
  <c r="AC426" i="5" a="1"/>
  <c r="AC426" i="5" s="1"/>
  <c r="U426" i="5" a="1"/>
  <c r="U426" i="5" s="1"/>
  <c r="T426" i="5" a="1"/>
  <c r="T426" i="5" s="1"/>
  <c r="AZ426" i="5" a="1"/>
  <c r="AZ426" i="5" s="1"/>
  <c r="V426" i="5" a="1"/>
  <c r="V426" i="5" s="1"/>
  <c r="AG426" i="5" a="1"/>
  <c r="AG426" i="5" s="1"/>
  <c r="AL426" i="5" a="1"/>
  <c r="AL426" i="5" s="1"/>
  <c r="AW426" i="5" a="1"/>
  <c r="AW426" i="5" s="1"/>
  <c r="W426" i="5" a="1"/>
  <c r="W426" i="5" s="1"/>
  <c r="AH426" i="5" a="1"/>
  <c r="AH426" i="5" s="1"/>
  <c r="AM426" i="5" a="1"/>
  <c r="AM426" i="5" s="1"/>
  <c r="AX426" i="5" a="1"/>
  <c r="AX426" i="5" s="1"/>
  <c r="X426" i="5" a="1"/>
  <c r="X426" i="5" s="1"/>
  <c r="AI426" i="5" a="1"/>
  <c r="AI426" i="5" s="1"/>
  <c r="AN426" i="5" a="1"/>
  <c r="AN426" i="5" s="1"/>
  <c r="AV426" i="5" a="1"/>
  <c r="AV426" i="5" s="1"/>
  <c r="Y426" i="5" a="1"/>
  <c r="Y426" i="5" s="1"/>
  <c r="AO426" i="5" a="1"/>
  <c r="AO426" i="5" s="1"/>
  <c r="Z426" i="5" a="1"/>
  <c r="Z426" i="5" s="1"/>
  <c r="AP426" i="5" a="1"/>
  <c r="AP426" i="5" s="1"/>
  <c r="AA426" i="5" a="1"/>
  <c r="AA426" i="5" s="1"/>
  <c r="AQ426" i="5" a="1"/>
  <c r="AQ426" i="5" s="1"/>
  <c r="AB426" i="5" a="1"/>
  <c r="AB426" i="5" s="1"/>
  <c r="AR426" i="5" a="1"/>
  <c r="AR426" i="5" s="1"/>
  <c r="AF426" i="5" a="1"/>
  <c r="AF426" i="5" s="1"/>
  <c r="AL427" i="5" a="1"/>
  <c r="AL427" i="5" s="1"/>
  <c r="AU427" i="5" a="1"/>
  <c r="AU427" i="5" s="1"/>
  <c r="AR427" i="5" a="1"/>
  <c r="AR427" i="5" s="1"/>
  <c r="AO427" i="5" a="1"/>
  <c r="AO427" i="5" s="1"/>
  <c r="AN427" i="5" a="1"/>
  <c r="AN427" i="5" s="1"/>
  <c r="AM427" i="5" a="1"/>
  <c r="AM427" i="5" s="1"/>
  <c r="AE427" i="5" a="1"/>
  <c r="AE427" i="5" s="1"/>
  <c r="AB427" i="5" a="1"/>
  <c r="AB427" i="5" s="1"/>
  <c r="Y427" i="5" a="1"/>
  <c r="Y427" i="5" s="1"/>
  <c r="X427" i="5" a="1"/>
  <c r="X427" i="5" s="1"/>
  <c r="W427" i="5" a="1"/>
  <c r="W427" i="5" s="1"/>
  <c r="AW427" i="5" a="1"/>
  <c r="AW427" i="5" s="1"/>
  <c r="AH427" i="5" a="1"/>
  <c r="AH427" i="5" s="1"/>
  <c r="AX427" i="5" a="1"/>
  <c r="AX427" i="5" s="1"/>
  <c r="AI427" i="5" a="1"/>
  <c r="AI427" i="5" s="1"/>
  <c r="AY427" i="5" a="1"/>
  <c r="AY427" i="5" s="1"/>
  <c r="Z427" i="5" a="1"/>
  <c r="Z427" i="5" s="1"/>
  <c r="T427" i="5" a="1"/>
  <c r="T427" i="5" s="1"/>
  <c r="AP427" i="5" a="1"/>
  <c r="AP427" i="5" s="1"/>
  <c r="AJ427" i="5" a="1"/>
  <c r="AJ427" i="5" s="1"/>
  <c r="AA427" i="5" a="1"/>
  <c r="AA427" i="5" s="1"/>
  <c r="AZ427" i="5" a="1"/>
  <c r="AZ427" i="5" s="1"/>
  <c r="AQ427" i="5" a="1"/>
  <c r="AQ427" i="5" s="1"/>
  <c r="U427" i="5" a="1"/>
  <c r="U427" i="5" s="1"/>
  <c r="AG427" i="5" a="1"/>
  <c r="AG427" i="5" s="1"/>
  <c r="AC427" i="5" a="1"/>
  <c r="AC427" i="5" s="1"/>
  <c r="AK427" i="5" a="1"/>
  <c r="AK427" i="5" s="1"/>
  <c r="AS427" i="5" a="1"/>
  <c r="AS427" i="5" s="1"/>
  <c r="V427" i="5" a="1"/>
  <c r="V427" i="5" s="1"/>
  <c r="AD427" i="5" a="1"/>
  <c r="AD427" i="5" s="1"/>
  <c r="AT427" i="5" a="1"/>
  <c r="AT427" i="5" s="1"/>
  <c r="AF427" i="5" a="1"/>
  <c r="AF427" i="5" s="1"/>
  <c r="AV427" i="5" a="1"/>
  <c r="AV427" i="5" s="1"/>
  <c r="Q268" i="5"/>
  <c r="P190" i="5"/>
  <c r="T190" i="5" s="1" a="1"/>
  <c r="T190" i="5" s="1"/>
  <c r="P192" i="5"/>
  <c r="AZ192" i="5" s="1" a="1"/>
  <c r="AZ192" i="5" s="1"/>
  <c r="H46" i="2" l="1"/>
  <c r="E43" i="22" s="1"/>
  <c r="G43" i="22" s="1"/>
  <c r="D156" i="5"/>
  <c r="D157" i="5"/>
  <c r="F157" i="5" s="1"/>
  <c r="D155" i="5"/>
  <c r="Q194" i="5"/>
  <c r="Q427" i="5"/>
  <c r="Q426" i="5"/>
  <c r="P203" i="5"/>
  <c r="T203" i="5" s="1" a="1"/>
  <c r="T203" i="5" s="1"/>
  <c r="P242" i="5"/>
  <c r="P255" i="5"/>
  <c r="P229" i="5"/>
  <c r="P216" i="5"/>
  <c r="AK192" i="5" a="1"/>
  <c r="AK192" i="5" s="1"/>
  <c r="AP190" i="5" a="1"/>
  <c r="AP190" i="5" s="1"/>
  <c r="AB190" i="5" a="1"/>
  <c r="AB190" i="5" s="1"/>
  <c r="AU190" i="5" a="1"/>
  <c r="AU190" i="5" s="1"/>
  <c r="AT190" i="5" a="1"/>
  <c r="AT190" i="5" s="1"/>
  <c r="AF190" i="5" a="1"/>
  <c r="AF190" i="5" s="1"/>
  <c r="AS190" i="5" a="1"/>
  <c r="AS190" i="5" s="1"/>
  <c r="AT192" i="5" a="1"/>
  <c r="AT192" i="5" s="1"/>
  <c r="AD192" i="5" a="1"/>
  <c r="AD192" i="5" s="1"/>
  <c r="AS192" i="5" a="1"/>
  <c r="AS192" i="5" s="1"/>
  <c r="AC192" i="5" a="1"/>
  <c r="AC192" i="5" s="1"/>
  <c r="Y192" i="5" a="1"/>
  <c r="Y192" i="5" s="1"/>
  <c r="AE190" i="5" a="1"/>
  <c r="AE190" i="5" s="1"/>
  <c r="AR192" i="5" a="1"/>
  <c r="AR192" i="5" s="1"/>
  <c r="AC190" i="5" a="1"/>
  <c r="AC190" i="5" s="1"/>
  <c r="Z192" i="5" a="1"/>
  <c r="Z192" i="5" s="1"/>
  <c r="AQ192" i="5" a="1"/>
  <c r="AQ192" i="5" s="1"/>
  <c r="AI190" i="5" a="1"/>
  <c r="AI190" i="5" s="1"/>
  <c r="X192" i="5" a="1"/>
  <c r="X192" i="5" s="1"/>
  <c r="U192" i="5" a="1"/>
  <c r="U192" i="5" s="1"/>
  <c r="AK190" i="5" a="1"/>
  <c r="AK190" i="5" s="1"/>
  <c r="AH190" i="5" a="1"/>
  <c r="AH190" i="5" s="1"/>
  <c r="AX192" i="5" a="1"/>
  <c r="AX192" i="5" s="1"/>
  <c r="AO192" i="5" a="1"/>
  <c r="AO192" i="5" s="1"/>
  <c r="AA190" i="5" a="1"/>
  <c r="AA190" i="5" s="1"/>
  <c r="Z190" i="5" a="1"/>
  <c r="Z190" i="5" s="1"/>
  <c r="AM190" i="5" a="1"/>
  <c r="AM190" i="5" s="1"/>
  <c r="AJ192" i="5" a="1"/>
  <c r="AJ192" i="5" s="1"/>
  <c r="AY192" i="5" a="1"/>
  <c r="AY192" i="5" s="1"/>
  <c r="AW190" i="5" a="1"/>
  <c r="AW190" i="5" s="1"/>
  <c r="AA192" i="5" a="1"/>
  <c r="AA192" i="5" s="1"/>
  <c r="AG190" i="5" a="1"/>
  <c r="AG190" i="5" s="1"/>
  <c r="W192" i="5" a="1"/>
  <c r="W192" i="5" s="1"/>
  <c r="AY190" i="5" a="1"/>
  <c r="AY190" i="5" s="1"/>
  <c r="AQ190" i="5" a="1"/>
  <c r="AQ190" i="5" s="1"/>
  <c r="AV192" i="5" a="1"/>
  <c r="AV192" i="5" s="1"/>
  <c r="AN192" i="5" a="1"/>
  <c r="AN192" i="5" s="1"/>
  <c r="AX190" i="5" a="1"/>
  <c r="AX190" i="5" s="1"/>
  <c r="AZ190" i="5" a="1"/>
  <c r="AZ190" i="5" s="1"/>
  <c r="AL190" i="5" a="1"/>
  <c r="AL190" i="5" s="1"/>
  <c r="V190" i="5" a="1"/>
  <c r="V190" i="5" s="1"/>
  <c r="W190" i="5" a="1"/>
  <c r="W190" i="5" s="1"/>
  <c r="AW192" i="5" a="1"/>
  <c r="AW192" i="5" s="1"/>
  <c r="AJ190" i="5" a="1"/>
  <c r="AJ190" i="5" s="1"/>
  <c r="AO190" i="5" a="1"/>
  <c r="AO190" i="5" s="1"/>
  <c r="AF192" i="5" a="1"/>
  <c r="AF192" i="5" s="1"/>
  <c r="AM192" i="5" a="1"/>
  <c r="AM192" i="5" s="1"/>
  <c r="AD190" i="5" a="1"/>
  <c r="AD190" i="5" s="1"/>
  <c r="AU192" i="5" a="1"/>
  <c r="AU192" i="5" s="1"/>
  <c r="AR190" i="5" a="1"/>
  <c r="AR190" i="5" s="1"/>
  <c r="AB192" i="5" a="1"/>
  <c r="AB192" i="5" s="1"/>
  <c r="Y190" i="5" a="1"/>
  <c r="Y190" i="5" s="1"/>
  <c r="AI192" i="5" a="1"/>
  <c r="AI192" i="5" s="1"/>
  <c r="X190" i="5" a="1"/>
  <c r="X190" i="5" s="1"/>
  <c r="AN190" i="5" a="1"/>
  <c r="AN190" i="5" s="1"/>
  <c r="T192" i="5" a="1"/>
  <c r="T192" i="5" s="1"/>
  <c r="AV190" i="5" a="1"/>
  <c r="AV190" i="5" s="1"/>
  <c r="U190" i="5" a="1"/>
  <c r="U190" i="5" s="1"/>
  <c r="AE192" i="5" a="1"/>
  <c r="AE192" i="5" s="1"/>
  <c r="AL192" i="5" a="1"/>
  <c r="AL192" i="5" s="1"/>
  <c r="AH192" i="5" a="1"/>
  <c r="AH192" i="5" s="1"/>
  <c r="AP192" i="5" a="1"/>
  <c r="AP192" i="5" s="1"/>
  <c r="AG192" i="5" a="1"/>
  <c r="AG192" i="5" s="1"/>
  <c r="V192" i="5" a="1"/>
  <c r="V192" i="5" s="1"/>
  <c r="F4" i="7"/>
  <c r="D4" i="5"/>
  <c r="C4" i="13"/>
  <c r="D4" i="9"/>
  <c r="C4" i="15"/>
  <c r="C4" i="14"/>
  <c r="C4" i="10"/>
  <c r="D4" i="8"/>
  <c r="E4" i="1"/>
  <c r="D230" i="2"/>
  <c r="D177" i="2"/>
  <c r="D176" i="2" s="1"/>
  <c r="D221" i="2"/>
  <c r="D220" i="2"/>
  <c r="D218" i="2"/>
  <c r="D219" i="2"/>
  <c r="D217" i="2"/>
  <c r="D215" i="2"/>
  <c r="D213" i="2"/>
  <c r="D212" i="2"/>
  <c r="D214" i="2"/>
  <c r="D211" i="2"/>
  <c r="D209" i="2"/>
  <c r="D208" i="2"/>
  <c r="D207" i="2"/>
  <c r="D206" i="2"/>
  <c r="D199" i="2"/>
  <c r="D197" i="2"/>
  <c r="D196" i="2"/>
  <c r="D194" i="2"/>
  <c r="D195" i="2"/>
  <c r="B20" i="3"/>
  <c r="F171" i="9"/>
  <c r="D171" i="9"/>
  <c r="D44" i="9"/>
  <c r="F44" i="9"/>
  <c r="AC19" i="10"/>
  <c r="AC18" i="10"/>
  <c r="A19" i="3"/>
  <c r="B19" i="3" s="1"/>
  <c r="A18" i="3"/>
  <c r="B18" i="3" s="1"/>
  <c r="D42" i="10"/>
  <c r="D44" i="10" s="1"/>
  <c r="B45" i="10" s="1"/>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24" i="15"/>
  <c r="A923" i="15"/>
  <c r="A922" i="15"/>
  <c r="A921" i="15"/>
  <c r="A920" i="15"/>
  <c r="A919" i="15"/>
  <c r="A918" i="15"/>
  <c r="A917" i="15"/>
  <c r="A916" i="15"/>
  <c r="A915" i="15"/>
  <c r="A914" i="15"/>
  <c r="A913"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14" i="15"/>
  <c r="F172" i="9"/>
  <c r="G172" i="9" s="1"/>
  <c r="D172" i="9"/>
  <c r="E172" i="9" s="1"/>
  <c r="F45" i="9"/>
  <c r="D45" i="9"/>
  <c r="E25" i="8"/>
  <c r="E24" i="4"/>
  <c r="B7" i="7"/>
  <c r="O86" i="10"/>
  <c r="P86" i="10" s="1"/>
  <c r="O87" i="10"/>
  <c r="P87" i="10" s="1"/>
  <c r="O88" i="10"/>
  <c r="P88" i="10" s="1"/>
  <c r="O89" i="10"/>
  <c r="P89" i="10" s="1"/>
  <c r="O90" i="10"/>
  <c r="P90" i="10" s="1"/>
  <c r="O91" i="10"/>
  <c r="P91" i="10" s="1"/>
  <c r="O92" i="10"/>
  <c r="P92" i="10" s="1"/>
  <c r="O93" i="10"/>
  <c r="P93" i="10" s="1"/>
  <c r="O94" i="10"/>
  <c r="P94" i="10" s="1"/>
  <c r="O95" i="10"/>
  <c r="P95" i="10" s="1"/>
  <c r="O96" i="10"/>
  <c r="P96" i="10" s="1"/>
  <c r="O85" i="10"/>
  <c r="P85" i="10" s="1"/>
  <c r="N97" i="10"/>
  <c r="G47" i="2"/>
  <c r="E74" i="22" s="1"/>
  <c r="H74" i="22" s="1"/>
  <c r="D41" i="9"/>
  <c r="D35" i="9"/>
  <c r="I91" i="2"/>
  <c r="I129" i="2"/>
  <c r="I128" i="2"/>
  <c r="AD6" i="3" s="1"/>
  <c r="I117" i="2"/>
  <c r="T18" i="3" s="1"/>
  <c r="I111" i="2"/>
  <c r="I110" i="2"/>
  <c r="I93" i="2"/>
  <c r="I92" i="2"/>
  <c r="I103" i="2"/>
  <c r="I102" i="2"/>
  <c r="I101" i="2"/>
  <c r="I98" i="2"/>
  <c r="I97" i="2"/>
  <c r="G39" i="4" s="1"/>
  <c r="H39" i="4" s="1"/>
  <c r="I95" i="2"/>
  <c r="I94" i="2"/>
  <c r="B21" i="3" l="1"/>
  <c r="B22" i="3" s="1" a="1"/>
  <c r="B22" i="3" s="1"/>
  <c r="C24" i="18" s="1"/>
  <c r="H43" i="22"/>
  <c r="L31" i="4"/>
  <c r="M31" i="4" s="1"/>
  <c r="G45" i="9"/>
  <c r="G35" i="4"/>
  <c r="H35" i="4" s="1"/>
  <c r="G34" i="4"/>
  <c r="L28" i="4"/>
  <c r="M28" i="4" s="1"/>
  <c r="L45" i="4"/>
  <c r="M45" i="4" s="1"/>
  <c r="H50" i="4"/>
  <c r="M50" i="4"/>
  <c r="G44" i="9"/>
  <c r="G171" i="9"/>
  <c r="H323" i="9"/>
  <c r="I323" i="9" s="1"/>
  <c r="H305" i="9"/>
  <c r="I305" i="9" s="1"/>
  <c r="H306" i="9"/>
  <c r="I306" i="9" s="1"/>
  <c r="H324" i="9"/>
  <c r="I324" i="9" s="1"/>
  <c r="Q190" i="5"/>
  <c r="E35" i="9"/>
  <c r="C28" i="9"/>
  <c r="B94" i="19"/>
  <c r="B95" i="19"/>
  <c r="G13" i="19"/>
  <c r="H31" i="7"/>
  <c r="H47" i="2"/>
  <c r="E44" i="22" s="1"/>
  <c r="AR203" i="5" a="1"/>
  <c r="AR203" i="5" s="1"/>
  <c r="AD203" i="5" a="1"/>
  <c r="AD203" i="5" s="1"/>
  <c r="U203" i="5" a="1"/>
  <c r="U203" i="5" s="1"/>
  <c r="AN203" i="5" a="1"/>
  <c r="AN203" i="5" s="1"/>
  <c r="AA203" i="5" a="1"/>
  <c r="AA203" i="5" s="1"/>
  <c r="AV203" i="5" a="1"/>
  <c r="AV203" i="5" s="1"/>
  <c r="AO203" i="5" a="1"/>
  <c r="AO203" i="5" s="1"/>
  <c r="AF203" i="5" a="1"/>
  <c r="AF203" i="5" s="1"/>
  <c r="AE203" i="5" a="1"/>
  <c r="AE203" i="5" s="1"/>
  <c r="AT203" i="5" a="1"/>
  <c r="AT203" i="5" s="1"/>
  <c r="Y203" i="5" a="1"/>
  <c r="Y203" i="5" s="1"/>
  <c r="Z203" i="5" a="1"/>
  <c r="Z203" i="5" s="1"/>
  <c r="AY203" i="5" a="1"/>
  <c r="AY203" i="5" s="1"/>
  <c r="AQ203" i="5" a="1"/>
  <c r="AQ203" i="5" s="1"/>
  <c r="AU203" i="5" a="1"/>
  <c r="AU203" i="5" s="1"/>
  <c r="AM203" i="5" a="1"/>
  <c r="AM203" i="5" s="1"/>
  <c r="AZ203" i="5" a="1"/>
  <c r="AZ203" i="5" s="1"/>
  <c r="AP203" i="5" a="1"/>
  <c r="AP203" i="5" s="1"/>
  <c r="AC203" i="5" a="1"/>
  <c r="AC203" i="5" s="1"/>
  <c r="X203" i="5" a="1"/>
  <c r="X203" i="5" s="1"/>
  <c r="W203" i="5" a="1"/>
  <c r="W203" i="5" s="1"/>
  <c r="AJ203" i="5" a="1"/>
  <c r="AJ203" i="5" s="1"/>
  <c r="AW203" i="5" a="1"/>
  <c r="AW203" i="5" s="1"/>
  <c r="AI203" i="5" a="1"/>
  <c r="AI203" i="5" s="1"/>
  <c r="AS203" i="5" a="1"/>
  <c r="AS203" i="5" s="1"/>
  <c r="AX203" i="5" a="1"/>
  <c r="AX203" i="5" s="1"/>
  <c r="AB203" i="5" a="1"/>
  <c r="AB203" i="5" s="1"/>
  <c r="AG203" i="5" a="1"/>
  <c r="AG203" i="5" s="1"/>
  <c r="AK203" i="5" a="1"/>
  <c r="AK203" i="5" s="1"/>
  <c r="AH203" i="5" a="1"/>
  <c r="AH203" i="5" s="1"/>
  <c r="V203" i="5" a="1"/>
  <c r="V203" i="5" s="1"/>
  <c r="AL203" i="5" a="1"/>
  <c r="AL203" i="5" s="1"/>
  <c r="P256" i="5"/>
  <c r="AZ256" i="5" s="1" a="1"/>
  <c r="AZ256" i="5" s="1"/>
  <c r="P429" i="5"/>
  <c r="AV216" i="5" a="1"/>
  <c r="AV216" i="5" s="1"/>
  <c r="AG216" i="5" a="1"/>
  <c r="AG216" i="5" s="1"/>
  <c r="AW216" i="5" a="1"/>
  <c r="AW216" i="5" s="1"/>
  <c r="AM216" i="5" a="1"/>
  <c r="AM216" i="5" s="1"/>
  <c r="AU216" i="5" a="1"/>
  <c r="AU216" i="5" s="1"/>
  <c r="AO216" i="5" a="1"/>
  <c r="AO216" i="5" s="1"/>
  <c r="AE216" i="5" a="1"/>
  <c r="AE216" i="5" s="1"/>
  <c r="Y216" i="5" a="1"/>
  <c r="Y216" i="5" s="1"/>
  <c r="W216" i="5" a="1"/>
  <c r="W216" i="5" s="1"/>
  <c r="AC216" i="5" a="1"/>
  <c r="AC216" i="5" s="1"/>
  <c r="AS216" i="5" a="1"/>
  <c r="AS216" i="5" s="1"/>
  <c r="AL216" i="5" a="1"/>
  <c r="AL216" i="5" s="1"/>
  <c r="AK216" i="5" a="1"/>
  <c r="AK216" i="5" s="1"/>
  <c r="Z216" i="5" a="1"/>
  <c r="Z216" i="5" s="1"/>
  <c r="AX216" i="5" a="1"/>
  <c r="AX216" i="5" s="1"/>
  <c r="AH216" i="5" a="1"/>
  <c r="AH216" i="5" s="1"/>
  <c r="V216" i="5" a="1"/>
  <c r="V216" i="5" s="1"/>
  <c r="U216" i="5" a="1"/>
  <c r="U216" i="5" s="1"/>
  <c r="AP216" i="5" a="1"/>
  <c r="AP216" i="5" s="1"/>
  <c r="AD216" i="5" a="1"/>
  <c r="AD216" i="5" s="1"/>
  <c r="AA216" i="5" a="1"/>
  <c r="AA216" i="5" s="1"/>
  <c r="AT216" i="5" a="1"/>
  <c r="AT216" i="5" s="1"/>
  <c r="AI216" i="5" a="1"/>
  <c r="AI216" i="5" s="1"/>
  <c r="X216" i="5" a="1"/>
  <c r="X216" i="5" s="1"/>
  <c r="AQ216" i="5" a="1"/>
  <c r="AQ216" i="5" s="1"/>
  <c r="AF216" i="5" a="1"/>
  <c r="AF216" i="5" s="1"/>
  <c r="AB216" i="5" a="1"/>
  <c r="AB216" i="5" s="1"/>
  <c r="AY216" i="5" a="1"/>
  <c r="AY216" i="5" s="1"/>
  <c r="AN216" i="5" a="1"/>
  <c r="AN216" i="5" s="1"/>
  <c r="AZ216" i="5" a="1"/>
  <c r="AZ216" i="5" s="1"/>
  <c r="T216" i="5" a="1"/>
  <c r="T216" i="5" s="1"/>
  <c r="AJ216" i="5" a="1"/>
  <c r="AJ216" i="5" s="1"/>
  <c r="AR216" i="5" a="1"/>
  <c r="AR216" i="5" s="1"/>
  <c r="AV229" i="5" a="1"/>
  <c r="AV229" i="5" s="1"/>
  <c r="AP229" i="5" a="1"/>
  <c r="AP229" i="5" s="1"/>
  <c r="Z229" i="5" a="1"/>
  <c r="Z229" i="5" s="1"/>
  <c r="AU229" i="5" a="1"/>
  <c r="AU229" i="5" s="1"/>
  <c r="AO229" i="5" a="1"/>
  <c r="AO229" i="5" s="1"/>
  <c r="AM229" i="5" a="1"/>
  <c r="AM229" i="5" s="1"/>
  <c r="AJ229" i="5" a="1"/>
  <c r="AJ229" i="5" s="1"/>
  <c r="AH229" i="5" a="1"/>
  <c r="AH229" i="5" s="1"/>
  <c r="AW229" i="5" a="1"/>
  <c r="AW229" i="5" s="1"/>
  <c r="AG229" i="5" a="1"/>
  <c r="AG229" i="5" s="1"/>
  <c r="AE229" i="5" a="1"/>
  <c r="AE229" i="5" s="1"/>
  <c r="AB229" i="5" a="1"/>
  <c r="AB229" i="5" s="1"/>
  <c r="Y229" i="5" a="1"/>
  <c r="Y229" i="5" s="1"/>
  <c r="W229" i="5" a="1"/>
  <c r="W229" i="5" s="1"/>
  <c r="T229" i="5" a="1"/>
  <c r="T229" i="5" s="1"/>
  <c r="AX229" i="5" a="1"/>
  <c r="AX229" i="5" s="1"/>
  <c r="AY229" i="5" a="1"/>
  <c r="AY229" i="5" s="1"/>
  <c r="AZ229" i="5" a="1"/>
  <c r="AZ229" i="5" s="1"/>
  <c r="AK229" i="5" a="1"/>
  <c r="AK229" i="5" s="1"/>
  <c r="AR229" i="5" a="1"/>
  <c r="AR229" i="5" s="1"/>
  <c r="U229" i="5" a="1"/>
  <c r="U229" i="5" s="1"/>
  <c r="AC229" i="5" a="1"/>
  <c r="AC229" i="5" s="1"/>
  <c r="AS229" i="5" a="1"/>
  <c r="AS229" i="5" s="1"/>
  <c r="V229" i="5" a="1"/>
  <c r="V229" i="5" s="1"/>
  <c r="AD229" i="5" a="1"/>
  <c r="AD229" i="5" s="1"/>
  <c r="AL229" i="5" a="1"/>
  <c r="AL229" i="5" s="1"/>
  <c r="AT229" i="5" a="1"/>
  <c r="AT229" i="5" s="1"/>
  <c r="X229" i="5" a="1"/>
  <c r="X229" i="5" s="1"/>
  <c r="AQ229" i="5" a="1"/>
  <c r="AQ229" i="5" s="1"/>
  <c r="AF229" i="5" a="1"/>
  <c r="AF229" i="5" s="1"/>
  <c r="AI229" i="5" a="1"/>
  <c r="AI229" i="5" s="1"/>
  <c r="AA229" i="5" a="1"/>
  <c r="AA229" i="5" s="1"/>
  <c r="AN229" i="5" a="1"/>
  <c r="AN229" i="5" s="1"/>
  <c r="AW255" i="5" a="1"/>
  <c r="AW255" i="5" s="1"/>
  <c r="AI255" i="5" a="1"/>
  <c r="AI255" i="5" s="1"/>
  <c r="AH255" i="5" a="1"/>
  <c r="AH255" i="5" s="1"/>
  <c r="AF255" i="5" a="1"/>
  <c r="AF255" i="5" s="1"/>
  <c r="AE255" i="5" a="1"/>
  <c r="AE255" i="5" s="1"/>
  <c r="AB255" i="5" a="1"/>
  <c r="AB255" i="5" s="1"/>
  <c r="AZ255" i="5" a="1"/>
  <c r="AZ255" i="5" s="1"/>
  <c r="AA255" i="5" a="1"/>
  <c r="AA255" i="5" s="1"/>
  <c r="AY255" i="5" a="1"/>
  <c r="AY255" i="5" s="1"/>
  <c r="Z255" i="5" a="1"/>
  <c r="Z255" i="5" s="1"/>
  <c r="AX255" i="5" a="1"/>
  <c r="AX255" i="5" s="1"/>
  <c r="X255" i="5" a="1"/>
  <c r="X255" i="5" s="1"/>
  <c r="AV255" i="5" a="1"/>
  <c r="AV255" i="5" s="1"/>
  <c r="W255" i="5" a="1"/>
  <c r="W255" i="5" s="1"/>
  <c r="AU255" i="5" a="1"/>
  <c r="AU255" i="5" s="1"/>
  <c r="AJ255" i="5" a="1"/>
  <c r="AJ255" i="5" s="1"/>
  <c r="AR255" i="5" a="1"/>
  <c r="AR255" i="5" s="1"/>
  <c r="V255" i="5" a="1"/>
  <c r="V255" i="5" s="1"/>
  <c r="AQ255" i="5" a="1"/>
  <c r="AQ255" i="5" s="1"/>
  <c r="T255" i="5" a="1"/>
  <c r="T255" i="5" s="1"/>
  <c r="AP255" i="5" a="1"/>
  <c r="AP255" i="5" s="1"/>
  <c r="AM255" i="5" a="1"/>
  <c r="AM255" i="5" s="1"/>
  <c r="AN255" i="5" a="1"/>
  <c r="AN255" i="5" s="1"/>
  <c r="AS255" i="5" a="1"/>
  <c r="AS255" i="5" s="1"/>
  <c r="AL255" i="5" a="1"/>
  <c r="AL255" i="5" s="1"/>
  <c r="AD255" i="5" a="1"/>
  <c r="AD255" i="5" s="1"/>
  <c r="AG255" i="5" a="1"/>
  <c r="AG255" i="5" s="1"/>
  <c r="AK255" i="5" a="1"/>
  <c r="AK255" i="5" s="1"/>
  <c r="AT255" i="5" a="1"/>
  <c r="AT255" i="5" s="1"/>
  <c r="Y255" i="5" a="1"/>
  <c r="Y255" i="5" s="1"/>
  <c r="AO255" i="5" a="1"/>
  <c r="AO255" i="5" s="1"/>
  <c r="AC255" i="5" a="1"/>
  <c r="AC255" i="5" s="1"/>
  <c r="U255" i="5" a="1"/>
  <c r="U255" i="5" s="1"/>
  <c r="AW242" i="5" a="1"/>
  <c r="AW242" i="5" s="1"/>
  <c r="AF242" i="5" a="1"/>
  <c r="AF242" i="5" s="1"/>
  <c r="AE242" i="5" a="1"/>
  <c r="AE242" i="5" s="1"/>
  <c r="AD242" i="5" a="1"/>
  <c r="AD242" i="5" s="1"/>
  <c r="AZ242" i="5" a="1"/>
  <c r="AZ242" i="5" s="1"/>
  <c r="AB242" i="5" a="1"/>
  <c r="AB242" i="5" s="1"/>
  <c r="AR242" i="5" a="1"/>
  <c r="AR242" i="5" s="1"/>
  <c r="AH242" i="5" a="1"/>
  <c r="AH242" i="5" s="1"/>
  <c r="AX242" i="5" a="1"/>
  <c r="AX242" i="5" s="1"/>
  <c r="AA242" i="5" a="1"/>
  <c r="AA242" i="5" s="1"/>
  <c r="AU242" i="5" a="1"/>
  <c r="AU242" i="5" s="1"/>
  <c r="Z242" i="5" a="1"/>
  <c r="Z242" i="5" s="1"/>
  <c r="V242" i="5" a="1"/>
  <c r="V242" i="5" s="1"/>
  <c r="X242" i="5" a="1"/>
  <c r="X242" i="5" s="1"/>
  <c r="AT242" i="5" a="1"/>
  <c r="AT242" i="5" s="1"/>
  <c r="W242" i="5" a="1"/>
  <c r="W242" i="5" s="1"/>
  <c r="AP242" i="5" a="1"/>
  <c r="AP242" i="5" s="1"/>
  <c r="T242" i="5" a="1"/>
  <c r="T242" i="5" s="1"/>
  <c r="AM242" i="5" a="1"/>
  <c r="AM242" i="5" s="1"/>
  <c r="AL242" i="5" a="1"/>
  <c r="AL242" i="5" s="1"/>
  <c r="AJ242" i="5" a="1"/>
  <c r="AJ242" i="5" s="1"/>
  <c r="AI242" i="5" a="1"/>
  <c r="AI242" i="5" s="1"/>
  <c r="AC242" i="5" a="1"/>
  <c r="AC242" i="5" s="1"/>
  <c r="AK242" i="5" a="1"/>
  <c r="AK242" i="5" s="1"/>
  <c r="AS242" i="5" a="1"/>
  <c r="AS242" i="5" s="1"/>
  <c r="Y242" i="5" a="1"/>
  <c r="Y242" i="5" s="1"/>
  <c r="AN242" i="5" a="1"/>
  <c r="AN242" i="5" s="1"/>
  <c r="AV242" i="5" a="1"/>
  <c r="AV242" i="5" s="1"/>
  <c r="AG242" i="5" a="1"/>
  <c r="AG242" i="5" s="1"/>
  <c r="AO242" i="5" a="1"/>
  <c r="AO242" i="5" s="1"/>
  <c r="AY242" i="5" a="1"/>
  <c r="AY242" i="5" s="1"/>
  <c r="U242" i="5" a="1"/>
  <c r="U242" i="5" s="1"/>
  <c r="AQ242" i="5" a="1"/>
  <c r="AQ242" i="5" s="1"/>
  <c r="Q192" i="5"/>
  <c r="P428" i="5"/>
  <c r="P195" i="5"/>
  <c r="C84" i="2"/>
  <c r="Z13" i="10"/>
  <c r="W29" i="10" s="1"/>
  <c r="H171" i="9"/>
  <c r="E171" i="9"/>
  <c r="H44" i="9"/>
  <c r="E44" i="9"/>
  <c r="D201" i="9"/>
  <c r="H45" i="9"/>
  <c r="Z15" i="10"/>
  <c r="Z14" i="10"/>
  <c r="H172" i="9"/>
  <c r="I172" i="9" s="1"/>
  <c r="E45" i="9"/>
  <c r="P100" i="10"/>
  <c r="P97" i="10"/>
  <c r="O97" i="10"/>
  <c r="H88" i="7"/>
  <c r="B77" i="17"/>
  <c r="B78" i="17"/>
  <c r="B79" i="17"/>
  <c r="B80" i="17"/>
  <c r="B76" i="17"/>
  <c r="H44" i="22" l="1"/>
  <c r="G44" i="22"/>
  <c r="F100" i="2"/>
  <c r="Q203" i="5"/>
  <c r="AH256" i="5" a="1"/>
  <c r="AH256" i="5" s="1"/>
  <c r="W256" i="5" a="1"/>
  <c r="W256" i="5" s="1"/>
  <c r="AL256" i="5" a="1"/>
  <c r="AL256" i="5" s="1"/>
  <c r="X256" i="5" a="1"/>
  <c r="X256" i="5" s="1"/>
  <c r="V256" i="5" a="1"/>
  <c r="V256" i="5" s="1"/>
  <c r="AR256" i="5" a="1"/>
  <c r="AR256" i="5" s="1"/>
  <c r="AV256" i="5" a="1"/>
  <c r="AV256" i="5" s="1"/>
  <c r="AA256" i="5" a="1"/>
  <c r="AA256" i="5" s="1"/>
  <c r="U256" i="5" a="1"/>
  <c r="U256" i="5" s="1"/>
  <c r="AF256" i="5" a="1"/>
  <c r="AF256" i="5" s="1"/>
  <c r="AB256" i="5" a="1"/>
  <c r="AB256" i="5" s="1"/>
  <c r="AU256" i="5" a="1"/>
  <c r="AU256" i="5" s="1"/>
  <c r="AC256" i="5" a="1"/>
  <c r="AC256" i="5" s="1"/>
  <c r="AE256" i="5" a="1"/>
  <c r="AE256" i="5" s="1"/>
  <c r="AG256" i="5" a="1"/>
  <c r="AG256" i="5" s="1"/>
  <c r="AT256" i="5" a="1"/>
  <c r="AT256" i="5" s="1"/>
  <c r="AJ256" i="5" a="1"/>
  <c r="AJ256" i="5" s="1"/>
  <c r="AS428" i="5" a="1"/>
  <c r="AS428" i="5" s="1"/>
  <c r="AT428" i="5" a="1"/>
  <c r="AT428" i="5" s="1"/>
  <c r="AV428" i="5" a="1"/>
  <c r="AV428" i="5" s="1"/>
  <c r="AP428" i="5" a="1"/>
  <c r="AP428" i="5" s="1"/>
  <c r="AF428" i="5" a="1"/>
  <c r="AF428" i="5" s="1"/>
  <c r="AD428" i="5" a="1"/>
  <c r="AD428" i="5" s="1"/>
  <c r="Z428" i="5" a="1"/>
  <c r="Z428" i="5" s="1"/>
  <c r="AE428" i="5" a="1"/>
  <c r="AE428" i="5" s="1"/>
  <c r="AM428" i="5" a="1"/>
  <c r="AM428" i="5" s="1"/>
  <c r="AU428" i="5" a="1"/>
  <c r="AU428" i="5" s="1"/>
  <c r="X428" i="5" a="1"/>
  <c r="X428" i="5" s="1"/>
  <c r="AG428" i="5" a="1"/>
  <c r="AG428" i="5" s="1"/>
  <c r="AN428" i="5" a="1"/>
  <c r="AN428" i="5" s="1"/>
  <c r="AW428" i="5" a="1"/>
  <c r="AW428" i="5" s="1"/>
  <c r="Y428" i="5" a="1"/>
  <c r="Y428" i="5" s="1"/>
  <c r="AH428" i="5" a="1"/>
  <c r="AH428" i="5" s="1"/>
  <c r="AO428" i="5" a="1"/>
  <c r="AO428" i="5" s="1"/>
  <c r="AX428" i="5" a="1"/>
  <c r="AX428" i="5" s="1"/>
  <c r="AA428" i="5" a="1"/>
  <c r="AA428" i="5" s="1"/>
  <c r="W428" i="5" a="1"/>
  <c r="W428" i="5" s="1"/>
  <c r="AI428" i="5" a="1"/>
  <c r="AI428" i="5" s="1"/>
  <c r="AQ428" i="5" a="1"/>
  <c r="AQ428" i="5" s="1"/>
  <c r="AY428" i="5" a="1"/>
  <c r="AY428" i="5" s="1"/>
  <c r="AB428" i="5" a="1"/>
  <c r="AB428" i="5" s="1"/>
  <c r="T428" i="5" a="1"/>
  <c r="T428" i="5" s="1"/>
  <c r="AR428" i="5" a="1"/>
  <c r="AR428" i="5" s="1"/>
  <c r="AJ428" i="5" a="1"/>
  <c r="AJ428" i="5" s="1"/>
  <c r="AC428" i="5" a="1"/>
  <c r="AC428" i="5" s="1"/>
  <c r="AZ428" i="5" a="1"/>
  <c r="AZ428" i="5" s="1"/>
  <c r="U428" i="5" a="1"/>
  <c r="U428" i="5" s="1"/>
  <c r="AK428" i="5" a="1"/>
  <c r="AK428" i="5" s="1"/>
  <c r="V428" i="5" a="1"/>
  <c r="V428" i="5" s="1"/>
  <c r="AL428" i="5" a="1"/>
  <c r="AL428" i="5" s="1"/>
  <c r="AD256" i="5" a="1"/>
  <c r="AD256" i="5" s="1"/>
  <c r="AK256" i="5" a="1"/>
  <c r="AK256" i="5" s="1"/>
  <c r="Z256" i="5" a="1"/>
  <c r="Z256" i="5" s="1"/>
  <c r="AM256" i="5" a="1"/>
  <c r="AM256" i="5" s="1"/>
  <c r="AO256" i="5" a="1"/>
  <c r="AO256" i="5" s="1"/>
  <c r="AN256" i="5" a="1"/>
  <c r="AN256" i="5" s="1"/>
  <c r="Y256" i="5" a="1"/>
  <c r="Y256" i="5" s="1"/>
  <c r="AS256" i="5" a="1"/>
  <c r="AS256" i="5" s="1"/>
  <c r="AX256" i="5" a="1"/>
  <c r="AX256" i="5" s="1"/>
  <c r="AW256" i="5" a="1"/>
  <c r="AW256" i="5" s="1"/>
  <c r="AQ256" i="5" a="1"/>
  <c r="AQ256" i="5" s="1"/>
  <c r="AY256" i="5" a="1"/>
  <c r="AY256" i="5" s="1"/>
  <c r="T256" i="5" a="1"/>
  <c r="T256" i="5" s="1"/>
  <c r="AP256" i="5" a="1"/>
  <c r="AP256" i="5" s="1"/>
  <c r="AI256" i="5" a="1"/>
  <c r="AI256" i="5" s="1"/>
  <c r="AZ429" i="5" a="1"/>
  <c r="AZ429" i="5" s="1"/>
  <c r="AF429" i="5" a="1"/>
  <c r="AF429" i="5" s="1"/>
  <c r="AE429" i="5" a="1"/>
  <c r="AE429" i="5" s="1"/>
  <c r="AD429" i="5" a="1"/>
  <c r="AD429" i="5" s="1"/>
  <c r="AO429" i="5" a="1"/>
  <c r="AO429" i="5" s="1"/>
  <c r="Y429" i="5" a="1"/>
  <c r="Y429" i="5" s="1"/>
  <c r="X429" i="5" a="1"/>
  <c r="X429" i="5" s="1"/>
  <c r="W429" i="5" a="1"/>
  <c r="W429" i="5" s="1"/>
  <c r="V429" i="5" a="1"/>
  <c r="V429" i="5" s="1"/>
  <c r="U429" i="5" a="1"/>
  <c r="U429" i="5" s="1"/>
  <c r="AV429" i="5" a="1"/>
  <c r="AV429" i="5" s="1"/>
  <c r="AU429" i="5" a="1"/>
  <c r="AU429" i="5" s="1"/>
  <c r="AT429" i="5" a="1"/>
  <c r="AT429" i="5" s="1"/>
  <c r="AN429" i="5" a="1"/>
  <c r="AN429" i="5" s="1"/>
  <c r="AM429" i="5" a="1"/>
  <c r="AM429" i="5" s="1"/>
  <c r="AL429" i="5" a="1"/>
  <c r="AL429" i="5" s="1"/>
  <c r="AK429" i="5" a="1"/>
  <c r="AK429" i="5" s="1"/>
  <c r="Z429" i="5" a="1"/>
  <c r="Z429" i="5" s="1"/>
  <c r="AP429" i="5" a="1"/>
  <c r="AP429" i="5" s="1"/>
  <c r="AA429" i="5" a="1"/>
  <c r="AA429" i="5" s="1"/>
  <c r="AQ429" i="5" a="1"/>
  <c r="AQ429" i="5" s="1"/>
  <c r="AB429" i="5" a="1"/>
  <c r="AB429" i="5" s="1"/>
  <c r="AJ429" i="5" a="1"/>
  <c r="AJ429" i="5" s="1"/>
  <c r="AR429" i="5" a="1"/>
  <c r="AR429" i="5" s="1"/>
  <c r="AC429" i="5" a="1"/>
  <c r="AC429" i="5" s="1"/>
  <c r="AS429" i="5" a="1"/>
  <c r="AS429" i="5" s="1"/>
  <c r="AG429" i="5" a="1"/>
  <c r="AG429" i="5" s="1"/>
  <c r="AW429" i="5" a="1"/>
  <c r="AW429" i="5" s="1"/>
  <c r="AH429" i="5" a="1"/>
  <c r="AH429" i="5" s="1"/>
  <c r="AX429" i="5" a="1"/>
  <c r="AX429" i="5" s="1"/>
  <c r="AI429" i="5" a="1"/>
  <c r="AI429" i="5" s="1"/>
  <c r="AY429" i="5" a="1"/>
  <c r="AY429" i="5" s="1"/>
  <c r="T429" i="5" a="1"/>
  <c r="T429" i="5" s="1"/>
  <c r="P258" i="5"/>
  <c r="P257" i="5"/>
  <c r="Q216" i="5"/>
  <c r="Q229" i="5"/>
  <c r="Q255" i="5"/>
  <c r="Q242" i="5"/>
  <c r="P191" i="5"/>
  <c r="AR195" i="5" a="1"/>
  <c r="AR195" i="5" s="1"/>
  <c r="AY195" i="5" a="1"/>
  <c r="AY195" i="5" s="1"/>
  <c r="AM195" i="5" a="1"/>
  <c r="AM195" i="5" s="1"/>
  <c r="AF195" i="5" a="1"/>
  <c r="AF195" i="5" s="1"/>
  <c r="AP195" i="5" a="1"/>
  <c r="AP195" i="5" s="1"/>
  <c r="X195" i="5" a="1"/>
  <c r="X195" i="5" s="1"/>
  <c r="AA195" i="5" a="1"/>
  <c r="AA195" i="5" s="1"/>
  <c r="AJ195" i="5" a="1"/>
  <c r="AJ195" i="5" s="1"/>
  <c r="AQ195" i="5" a="1"/>
  <c r="AQ195" i="5" s="1"/>
  <c r="AK195" i="5" a="1"/>
  <c r="AK195" i="5" s="1"/>
  <c r="AD195" i="5" a="1"/>
  <c r="AD195" i="5" s="1"/>
  <c r="AZ195" i="5" a="1"/>
  <c r="AZ195" i="5" s="1"/>
  <c r="AB195" i="5" a="1"/>
  <c r="AB195" i="5" s="1"/>
  <c r="AT195" i="5" a="1"/>
  <c r="AT195" i="5" s="1"/>
  <c r="W195" i="5" a="1"/>
  <c r="W195" i="5" s="1"/>
  <c r="V195" i="5" a="1"/>
  <c r="V195" i="5" s="1"/>
  <c r="AG195" i="5" a="1"/>
  <c r="AG195" i="5" s="1"/>
  <c r="AL195" i="5" a="1"/>
  <c r="AL195" i="5" s="1"/>
  <c r="Z195" i="5" a="1"/>
  <c r="Z195" i="5" s="1"/>
  <c r="AH195" i="5" a="1"/>
  <c r="AH195" i="5" s="1"/>
  <c r="AN195" i="5" a="1"/>
  <c r="AN195" i="5" s="1"/>
  <c r="Y195" i="5" a="1"/>
  <c r="Y195" i="5" s="1"/>
  <c r="AX195" i="5" a="1"/>
  <c r="AX195" i="5" s="1"/>
  <c r="U195" i="5" a="1"/>
  <c r="U195" i="5" s="1"/>
  <c r="AI195" i="5" a="1"/>
  <c r="AI195" i="5" s="1"/>
  <c r="AC195" i="5" a="1"/>
  <c r="AC195" i="5" s="1"/>
  <c r="T195" i="5" a="1"/>
  <c r="T195" i="5" s="1"/>
  <c r="AU195" i="5" a="1"/>
  <c r="AU195" i="5" s="1"/>
  <c r="AO195" i="5" a="1"/>
  <c r="AO195" i="5" s="1"/>
  <c r="AV195" i="5" a="1"/>
  <c r="AV195" i="5" s="1"/>
  <c r="AS195" i="5" a="1"/>
  <c r="AS195" i="5" s="1"/>
  <c r="AW195" i="5" a="1"/>
  <c r="AW195" i="5" s="1"/>
  <c r="AE195" i="5" a="1"/>
  <c r="AE195" i="5" s="1"/>
  <c r="I108" i="2"/>
  <c r="E114" i="2" a="1"/>
  <c r="E114" i="2" s="1"/>
  <c r="I114" i="2" s="1"/>
  <c r="C121" i="2" a="1"/>
  <c r="C121" i="2" s="1"/>
  <c r="C114" i="2" a="1"/>
  <c r="C114" i="2" s="1"/>
  <c r="F116" i="2" a="1"/>
  <c r="F116" i="2" s="1"/>
  <c r="C107" i="2" a="1"/>
  <c r="C107" i="2" s="1"/>
  <c r="E113" i="2" a="1"/>
  <c r="E113" i="2" s="1"/>
  <c r="I113" i="2" s="1"/>
  <c r="F112" i="2" a="1"/>
  <c r="F112" i="2" s="1"/>
  <c r="C120" i="2" a="1"/>
  <c r="C120" i="2" s="1"/>
  <c r="C113" i="2" a="1"/>
  <c r="C113" i="2" s="1"/>
  <c r="E112" i="2" a="1"/>
  <c r="E112" i="2" s="1"/>
  <c r="I112" i="2" s="1"/>
  <c r="E116" i="2" a="1"/>
  <c r="E116" i="2" s="1"/>
  <c r="E119" i="2" a="1"/>
  <c r="E119" i="2" s="1"/>
  <c r="I119" i="2" s="1"/>
  <c r="T19" i="3" s="1"/>
  <c r="F113" i="2" a="1"/>
  <c r="F113" i="2" s="1"/>
  <c r="C119" i="2" a="1"/>
  <c r="C119" i="2" s="1"/>
  <c r="F119" i="2" a="1"/>
  <c r="F119" i="2" s="1"/>
  <c r="F109" i="2" a="1"/>
  <c r="F109" i="2" s="1"/>
  <c r="F115" i="2" a="1"/>
  <c r="F115" i="2" s="1"/>
  <c r="C112" i="2" a="1"/>
  <c r="C112" i="2" s="1"/>
  <c r="E100" i="2"/>
  <c r="E115" i="2" a="1"/>
  <c r="E115" i="2" s="1"/>
  <c r="I115" i="2" s="1"/>
  <c r="F200" i="9" s="1"/>
  <c r="F107" i="2" a="1"/>
  <c r="F107" i="2" s="1"/>
  <c r="C115" i="2" a="1"/>
  <c r="C115" i="2" s="1"/>
  <c r="C116" i="2" a="1"/>
  <c r="C116" i="2" s="1"/>
  <c r="F108" i="2" a="1"/>
  <c r="F108" i="2" s="1"/>
  <c r="E109" i="2" a="1"/>
  <c r="E109" i="2" s="1"/>
  <c r="I109" i="2" s="1"/>
  <c r="T17" i="3" s="1"/>
  <c r="C108" i="2" a="1"/>
  <c r="C108" i="2" s="1"/>
  <c r="F114" i="2" a="1"/>
  <c r="F114" i="2" s="1"/>
  <c r="F121" i="2" a="1"/>
  <c r="F121" i="2" s="1"/>
  <c r="F120" i="2" a="1"/>
  <c r="F120" i="2" s="1"/>
  <c r="E121" i="2" a="1"/>
  <c r="E121" i="2" s="1"/>
  <c r="I121" i="2" s="1"/>
  <c r="T24" i="3" s="1"/>
  <c r="C109" i="2" a="1"/>
  <c r="C109" i="2" s="1"/>
  <c r="E120" i="2" a="1"/>
  <c r="E120" i="2" s="1"/>
  <c r="I120" i="2" s="1"/>
  <c r="T23" i="3" s="1"/>
  <c r="I171" i="9"/>
  <c r="I44" i="9"/>
  <c r="D200" i="9"/>
  <c r="D73" i="9"/>
  <c r="I45" i="9"/>
  <c r="D74" i="9"/>
  <c r="H307" i="9" l="1"/>
  <c r="I307" i="9" s="1"/>
  <c r="H325" i="9"/>
  <c r="I325" i="9" s="1"/>
  <c r="G23" i="17"/>
  <c r="G24" i="17"/>
  <c r="Q256" i="5"/>
  <c r="Q429" i="5"/>
  <c r="Q428" i="5"/>
  <c r="AN257" i="5" a="1"/>
  <c r="AN257" i="5" s="1"/>
  <c r="AT257" i="5" a="1"/>
  <c r="AT257" i="5" s="1"/>
  <c r="AO257" i="5" a="1"/>
  <c r="AO257" i="5" s="1"/>
  <c r="AD257" i="5" a="1"/>
  <c r="AD257" i="5" s="1"/>
  <c r="Y257" i="5" a="1"/>
  <c r="Y257" i="5" s="1"/>
  <c r="AE257" i="5" a="1"/>
  <c r="AE257" i="5" s="1"/>
  <c r="AL257" i="5" a="1"/>
  <c r="AL257" i="5" s="1"/>
  <c r="AU257" i="5" a="1"/>
  <c r="AU257" i="5" s="1"/>
  <c r="W257" i="5" a="1"/>
  <c r="W257" i="5" s="1"/>
  <c r="AF257" i="5" a="1"/>
  <c r="AF257" i="5" s="1"/>
  <c r="AM257" i="5" a="1"/>
  <c r="AM257" i="5" s="1"/>
  <c r="AV257" i="5" a="1"/>
  <c r="AV257" i="5" s="1"/>
  <c r="X257" i="5" a="1"/>
  <c r="X257" i="5" s="1"/>
  <c r="AG257" i="5" a="1"/>
  <c r="AG257" i="5" s="1"/>
  <c r="AW257" i="5" a="1"/>
  <c r="AW257" i="5" s="1"/>
  <c r="AH257" i="5" a="1"/>
  <c r="AH257" i="5" s="1"/>
  <c r="AX257" i="5" a="1"/>
  <c r="AX257" i="5" s="1"/>
  <c r="Z257" i="5" a="1"/>
  <c r="Z257" i="5" s="1"/>
  <c r="AI257" i="5" a="1"/>
  <c r="AI257" i="5" s="1"/>
  <c r="AP257" i="5" a="1"/>
  <c r="AP257" i="5" s="1"/>
  <c r="AY257" i="5" a="1"/>
  <c r="AY257" i="5" s="1"/>
  <c r="AC257" i="5" a="1"/>
  <c r="AC257" i="5" s="1"/>
  <c r="AA257" i="5" a="1"/>
  <c r="AA257" i="5" s="1"/>
  <c r="T257" i="5" a="1"/>
  <c r="T257" i="5" s="1"/>
  <c r="AK257" i="5" a="1"/>
  <c r="AK257" i="5" s="1"/>
  <c r="AQ257" i="5" a="1"/>
  <c r="AQ257" i="5" s="1"/>
  <c r="AJ257" i="5" a="1"/>
  <c r="AJ257" i="5" s="1"/>
  <c r="AB257" i="5" a="1"/>
  <c r="AB257" i="5" s="1"/>
  <c r="AZ257" i="5" a="1"/>
  <c r="AZ257" i="5" s="1"/>
  <c r="AS257" i="5" a="1"/>
  <c r="AS257" i="5" s="1"/>
  <c r="AR257" i="5" a="1"/>
  <c r="AR257" i="5" s="1"/>
  <c r="U257" i="5" a="1"/>
  <c r="U257" i="5" s="1"/>
  <c r="V257" i="5" a="1"/>
  <c r="V257" i="5" s="1"/>
  <c r="AK258" i="5" a="1"/>
  <c r="AK258" i="5" s="1"/>
  <c r="AM258" i="5" a="1"/>
  <c r="AM258" i="5" s="1"/>
  <c r="AR258" i="5" a="1"/>
  <c r="AR258" i="5" s="1"/>
  <c r="AQ258" i="5" a="1"/>
  <c r="AQ258" i="5" s="1"/>
  <c r="AC258" i="5" a="1"/>
  <c r="AC258" i="5" s="1"/>
  <c r="AT258" i="5" a="1"/>
  <c r="AT258" i="5" s="1"/>
  <c r="AS258" i="5" a="1"/>
  <c r="AS258" i="5" s="1"/>
  <c r="AV258" i="5" a="1"/>
  <c r="AV258" i="5" s="1"/>
  <c r="AE258" i="5" a="1"/>
  <c r="AE258" i="5" s="1"/>
  <c r="T258" i="5" a="1"/>
  <c r="T258" i="5" s="1"/>
  <c r="AU258" i="5" a="1"/>
  <c r="AU258" i="5" s="1"/>
  <c r="AW258" i="5" a="1"/>
  <c r="AW258" i="5" s="1"/>
  <c r="AH258" i="5" a="1"/>
  <c r="AH258" i="5" s="1"/>
  <c r="V258" i="5" a="1"/>
  <c r="V258" i="5" s="1"/>
  <c r="AX258" i="5" a="1"/>
  <c r="AX258" i="5" s="1"/>
  <c r="AY258" i="5" a="1"/>
  <c r="AY258" i="5" s="1"/>
  <c r="U258" i="5" a="1"/>
  <c r="U258" i="5" s="1"/>
  <c r="Y258" i="5" a="1"/>
  <c r="Y258" i="5" s="1"/>
  <c r="W258" i="5" a="1"/>
  <c r="W258" i="5" s="1"/>
  <c r="AI258" i="5" a="1"/>
  <c r="AI258" i="5" s="1"/>
  <c r="AZ258" i="5" a="1"/>
  <c r="AZ258" i="5" s="1"/>
  <c r="AA258" i="5" a="1"/>
  <c r="AA258" i="5" s="1"/>
  <c r="X258" i="5" a="1"/>
  <c r="X258" i="5" s="1"/>
  <c r="AB258" i="5" a="1"/>
  <c r="AB258" i="5" s="1"/>
  <c r="AD258" i="5" a="1"/>
  <c r="AD258" i="5" s="1"/>
  <c r="AN258" i="5" a="1"/>
  <c r="AN258" i="5" s="1"/>
  <c r="AP258" i="5" a="1"/>
  <c r="AP258" i="5" s="1"/>
  <c r="AL258" i="5" a="1"/>
  <c r="AL258" i="5" s="1"/>
  <c r="AF258" i="5" a="1"/>
  <c r="AF258" i="5" s="1"/>
  <c r="AO258" i="5" a="1"/>
  <c r="AO258" i="5" s="1"/>
  <c r="AJ258" i="5" a="1"/>
  <c r="AJ258" i="5" s="1"/>
  <c r="AG258" i="5" a="1"/>
  <c r="AG258" i="5" s="1"/>
  <c r="Z258" i="5" a="1"/>
  <c r="Z258" i="5" s="1"/>
  <c r="Q195" i="5"/>
  <c r="AP191" i="5" a="1"/>
  <c r="AP191" i="5" s="1"/>
  <c r="AS191" i="5" a="1"/>
  <c r="AS191" i="5" s="1"/>
  <c r="AD191" i="5" a="1"/>
  <c r="AD191" i="5" s="1"/>
  <c r="X191" i="5" a="1"/>
  <c r="X191" i="5" s="1"/>
  <c r="AN191" i="5" a="1"/>
  <c r="AN191" i="5" s="1"/>
  <c r="AK191" i="5" a="1"/>
  <c r="AK191" i="5" s="1"/>
  <c r="AW191" i="5" a="1"/>
  <c r="AW191" i="5" s="1"/>
  <c r="AC191" i="5" a="1"/>
  <c r="AC191" i="5" s="1"/>
  <c r="AG191" i="5" a="1"/>
  <c r="AG191" i="5" s="1"/>
  <c r="AV191" i="5" a="1"/>
  <c r="AV191" i="5" s="1"/>
  <c r="AY191" i="5" a="1"/>
  <c r="AY191" i="5" s="1"/>
  <c r="T191" i="5" a="1"/>
  <c r="T191" i="5" s="1"/>
  <c r="Y191" i="5" a="1"/>
  <c r="Y191" i="5" s="1"/>
  <c r="V191" i="5" a="1"/>
  <c r="V191" i="5" s="1"/>
  <c r="Z191" i="5" a="1"/>
  <c r="Z191" i="5" s="1"/>
  <c r="AI191" i="5" a="1"/>
  <c r="AI191" i="5" s="1"/>
  <c r="AL191" i="5" a="1"/>
  <c r="AL191" i="5" s="1"/>
  <c r="AZ191" i="5" a="1"/>
  <c r="AZ191" i="5" s="1"/>
  <c r="AM191" i="5" a="1"/>
  <c r="AM191" i="5" s="1"/>
  <c r="AF191" i="5" a="1"/>
  <c r="AF191" i="5" s="1"/>
  <c r="W191" i="5" a="1"/>
  <c r="W191" i="5" s="1"/>
  <c r="AU191" i="5" a="1"/>
  <c r="AU191" i="5" s="1"/>
  <c r="AA191" i="5" a="1"/>
  <c r="AA191" i="5" s="1"/>
  <c r="AQ191" i="5" a="1"/>
  <c r="AQ191" i="5" s="1"/>
  <c r="AJ191" i="5" a="1"/>
  <c r="AJ191" i="5" s="1"/>
  <c r="AX191" i="5" a="1"/>
  <c r="AX191" i="5" s="1"/>
  <c r="U191" i="5" a="1"/>
  <c r="U191" i="5" s="1"/>
  <c r="AR191" i="5" a="1"/>
  <c r="AR191" i="5" s="1"/>
  <c r="AT191" i="5" a="1"/>
  <c r="AT191" i="5" s="1"/>
  <c r="AH191" i="5" a="1"/>
  <c r="AH191" i="5" s="1"/>
  <c r="AB191" i="5" a="1"/>
  <c r="AB191" i="5" s="1"/>
  <c r="AO191" i="5" a="1"/>
  <c r="AO191" i="5" s="1"/>
  <c r="AE191" i="5" a="1"/>
  <c r="AE191" i="5" s="1"/>
  <c r="T21" i="3"/>
  <c r="T22" i="3"/>
  <c r="T20" i="3"/>
  <c r="I99" i="2"/>
  <c r="F73" i="9"/>
  <c r="I116" i="2"/>
  <c r="H308" i="9" l="1"/>
  <c r="I308" i="9" s="1"/>
  <c r="H326" i="9"/>
  <c r="I326" i="9" s="1"/>
  <c r="Q257" i="5"/>
  <c r="Q258" i="5"/>
  <c r="P193" i="5"/>
  <c r="Y193" i="5" s="1" a="1"/>
  <c r="Y193" i="5" s="1"/>
  <c r="P259" i="5"/>
  <c r="Q191" i="5"/>
  <c r="F201" i="9"/>
  <c r="F74" i="9"/>
  <c r="N11" i="7"/>
  <c r="N10" i="7"/>
  <c r="V193" i="5" l="1" a="1"/>
  <c r="V193" i="5" s="1"/>
  <c r="AD193" i="5" a="1"/>
  <c r="AD193" i="5" s="1"/>
  <c r="AE193" i="5" a="1"/>
  <c r="AE193" i="5" s="1"/>
  <c r="AZ193" i="5" a="1"/>
  <c r="AZ193" i="5" s="1"/>
  <c r="W193" i="5" a="1"/>
  <c r="W193" i="5" s="1"/>
  <c r="AW193" i="5" a="1"/>
  <c r="AW193" i="5" s="1"/>
  <c r="AY193" i="5" a="1"/>
  <c r="AY193" i="5" s="1"/>
  <c r="AB193" i="5" a="1"/>
  <c r="AB193" i="5" s="1"/>
  <c r="AU193" i="5" a="1"/>
  <c r="AU193" i="5" s="1"/>
  <c r="AH193" i="5" a="1"/>
  <c r="AH193" i="5" s="1"/>
  <c r="AL193" i="5" a="1"/>
  <c r="AL193" i="5" s="1"/>
  <c r="AC193" i="5" a="1"/>
  <c r="AC193" i="5" s="1"/>
  <c r="Z193" i="5" a="1"/>
  <c r="Z193" i="5" s="1"/>
  <c r="AO193" i="5" a="1"/>
  <c r="AO193" i="5" s="1"/>
  <c r="U193" i="5" a="1"/>
  <c r="U193" i="5" s="1"/>
  <c r="AK193" i="5" a="1"/>
  <c r="AK193" i="5" s="1"/>
  <c r="AM193" i="5" a="1"/>
  <c r="AM193" i="5" s="1"/>
  <c r="AR193" i="5" a="1"/>
  <c r="AR193" i="5" s="1"/>
  <c r="AF193" i="5" a="1"/>
  <c r="AF193" i="5" s="1"/>
  <c r="T193" i="5" a="1"/>
  <c r="T193" i="5" s="1"/>
  <c r="AJ193" i="5" a="1"/>
  <c r="AJ193" i="5" s="1"/>
  <c r="AI193" i="5" a="1"/>
  <c r="AI193" i="5" s="1"/>
  <c r="AX193" i="5" a="1"/>
  <c r="AX193" i="5" s="1"/>
  <c r="AQ193" i="5" a="1"/>
  <c r="AQ193" i="5" s="1"/>
  <c r="AS193" i="5" a="1"/>
  <c r="AS193" i="5" s="1"/>
  <c r="AP193" i="5" a="1"/>
  <c r="AP193" i="5" s="1"/>
  <c r="AT193" i="5" a="1"/>
  <c r="AT193" i="5" s="1"/>
  <c r="AV193" i="5" a="1"/>
  <c r="AV193" i="5" s="1"/>
  <c r="AN193" i="5" a="1"/>
  <c r="AN193" i="5" s="1"/>
  <c r="X193" i="5" a="1"/>
  <c r="X193" i="5" s="1"/>
  <c r="AG193" i="5" a="1"/>
  <c r="AG193" i="5" s="1"/>
  <c r="AA193" i="5" a="1"/>
  <c r="AA193" i="5" s="1"/>
  <c r="AR259" i="5" a="1"/>
  <c r="AR259" i="5" s="1"/>
  <c r="Y259" i="5" a="1"/>
  <c r="Y259" i="5" s="1"/>
  <c r="V259" i="5" a="1"/>
  <c r="V259" i="5" s="1"/>
  <c r="AW259" i="5" a="1"/>
  <c r="AW259" i="5" s="1"/>
  <c r="AT259" i="5" a="1"/>
  <c r="AT259" i="5" s="1"/>
  <c r="AS259" i="5" a="1"/>
  <c r="AS259" i="5" s="1"/>
  <c r="AC259" i="5" a="1"/>
  <c r="AC259" i="5" s="1"/>
  <c r="AP259" i="5" a="1"/>
  <c r="AP259" i="5" s="1"/>
  <c r="AO259" i="5" a="1"/>
  <c r="AO259" i="5" s="1"/>
  <c r="AL259" i="5" a="1"/>
  <c r="AL259" i="5" s="1"/>
  <c r="Z259" i="5" a="1"/>
  <c r="Z259" i="5" s="1"/>
  <c r="AG259" i="5" a="1"/>
  <c r="AG259" i="5" s="1"/>
  <c r="AD259" i="5" a="1"/>
  <c r="AD259" i="5" s="1"/>
  <c r="AK259" i="5" a="1"/>
  <c r="AK259" i="5" s="1"/>
  <c r="W259" i="5" a="1"/>
  <c r="W259" i="5" s="1"/>
  <c r="AM259" i="5" a="1"/>
  <c r="AM259" i="5" s="1"/>
  <c r="X259" i="5" a="1"/>
  <c r="X259" i="5" s="1"/>
  <c r="AE259" i="5" a="1"/>
  <c r="AE259" i="5" s="1"/>
  <c r="AN259" i="5" a="1"/>
  <c r="AN259" i="5" s="1"/>
  <c r="U259" i="5" a="1"/>
  <c r="U259" i="5" s="1"/>
  <c r="AU259" i="5" a="1"/>
  <c r="AU259" i="5" s="1"/>
  <c r="AA259" i="5" a="1"/>
  <c r="AA259" i="5" s="1"/>
  <c r="AF259" i="5" a="1"/>
  <c r="AF259" i="5" s="1"/>
  <c r="AQ259" i="5" a="1"/>
  <c r="AQ259" i="5" s="1"/>
  <c r="AV259" i="5" a="1"/>
  <c r="AV259" i="5" s="1"/>
  <c r="AB259" i="5" a="1"/>
  <c r="AB259" i="5" s="1"/>
  <c r="AH259" i="5" a="1"/>
  <c r="AH259" i="5" s="1"/>
  <c r="AX259" i="5" a="1"/>
  <c r="AX259" i="5" s="1"/>
  <c r="AI259" i="5" a="1"/>
  <c r="AI259" i="5" s="1"/>
  <c r="AY259" i="5" a="1"/>
  <c r="AY259" i="5" s="1"/>
  <c r="T259" i="5" a="1"/>
  <c r="T259" i="5" s="1"/>
  <c r="AJ259" i="5" a="1"/>
  <c r="AJ259" i="5" s="1"/>
  <c r="AZ259" i="5" a="1"/>
  <c r="AZ259" i="5" s="1"/>
  <c r="Q193" i="5" l="1"/>
  <c r="H196" i="5" s="1"/>
  <c r="H197" i="5" s="1"/>
  <c r="E117" i="5" s="1"/>
  <c r="Q259" i="5"/>
  <c r="B76" i="13"/>
  <c r="B77" i="13"/>
  <c r="B78" i="13"/>
  <c r="B79" i="13"/>
  <c r="G24" i="13"/>
  <c r="G23" i="13"/>
  <c r="G22" i="13"/>
  <c r="G21" i="13"/>
  <c r="G20" i="13"/>
  <c r="G19" i="13"/>
  <c r="D137" i="5" l="1"/>
  <c r="B144" i="5" s="1"/>
  <c r="D90" i="7"/>
  <c r="H95" i="7"/>
  <c r="H100" i="7"/>
  <c r="H98" i="7"/>
  <c r="H94" i="7"/>
  <c r="H93" i="7"/>
  <c r="G32" i="13"/>
  <c r="G33" i="13"/>
  <c r="G34" i="13"/>
  <c r="G35" i="13"/>
  <c r="G36" i="13"/>
  <c r="G37" i="13"/>
  <c r="G38" i="13"/>
  <c r="G39" i="13"/>
  <c r="G40" i="13"/>
  <c r="G41" i="13"/>
  <c r="G42" i="13"/>
  <c r="G43" i="13"/>
  <c r="G44" i="13"/>
  <c r="G45" i="13"/>
  <c r="G46" i="13"/>
  <c r="G47" i="13"/>
  <c r="G48" i="13"/>
  <c r="F49" i="13"/>
  <c r="G49" i="13"/>
  <c r="H49" i="13" s="1"/>
  <c r="F50" i="13"/>
  <c r="G50" i="13"/>
  <c r="H50" i="13" s="1"/>
  <c r="F51" i="13"/>
  <c r="G51" i="13"/>
  <c r="F52" i="13"/>
  <c r="G52" i="13"/>
  <c r="H52" i="13" s="1"/>
  <c r="F53" i="13"/>
  <c r="G53" i="13"/>
  <c r="H53" i="13" s="1"/>
  <c r="F54" i="13"/>
  <c r="G54" i="13"/>
  <c r="H56" i="13"/>
  <c r="H57" i="13"/>
  <c r="H58" i="13"/>
  <c r="H59" i="13"/>
  <c r="H60" i="13"/>
  <c r="H61" i="13"/>
  <c r="H62" i="13"/>
  <c r="H63" i="13"/>
  <c r="H64" i="13"/>
  <c r="H65" i="13"/>
  <c r="H66" i="13"/>
  <c r="H67" i="13"/>
  <c r="H68" i="13"/>
  <c r="H55" i="13"/>
  <c r="G56" i="13"/>
  <c r="G57" i="13"/>
  <c r="G58" i="13"/>
  <c r="G59" i="13"/>
  <c r="G60" i="13"/>
  <c r="G61" i="13"/>
  <c r="G62" i="13"/>
  <c r="G63" i="13"/>
  <c r="G64" i="13"/>
  <c r="G65" i="13"/>
  <c r="G66" i="13"/>
  <c r="G67" i="13"/>
  <c r="G68" i="13"/>
  <c r="G55" i="13"/>
  <c r="F68" i="13"/>
  <c r="F67" i="13"/>
  <c r="F66" i="13"/>
  <c r="F65" i="13"/>
  <c r="F64" i="13"/>
  <c r="F63" i="13"/>
  <c r="F62" i="13"/>
  <c r="F61" i="13"/>
  <c r="F60" i="13"/>
  <c r="F59" i="13"/>
  <c r="F58" i="13"/>
  <c r="F57" i="13"/>
  <c r="F56" i="13"/>
  <c r="F55" i="13"/>
  <c r="J56" i="13" l="1"/>
  <c r="J53" i="13"/>
  <c r="J58" i="13"/>
  <c r="J68" i="13"/>
  <c r="J62" i="13"/>
  <c r="J67" i="13"/>
  <c r="J61" i="13"/>
  <c r="J60" i="13"/>
  <c r="J65" i="13"/>
  <c r="J59" i="13"/>
  <c r="J63" i="13"/>
  <c r="J57" i="13"/>
  <c r="J50" i="13"/>
  <c r="J64" i="13"/>
  <c r="J66" i="13"/>
  <c r="H51" i="13"/>
  <c r="J52" i="13" s="1"/>
  <c r="H54" i="13"/>
  <c r="J55" i="13" s="1"/>
  <c r="B75" i="13"/>
  <c r="E96" i="2"/>
  <c r="J54" i="13" l="1"/>
  <c r="J51" i="13"/>
  <c r="I96" i="2"/>
  <c r="G36" i="4" l="1"/>
  <c r="H36" i="4" s="1"/>
  <c r="L36" i="4"/>
  <c r="M36" i="4" s="1"/>
  <c r="M49" i="4" s="1"/>
  <c r="M51" i="4" s="1"/>
  <c r="D53" i="22" s="1"/>
  <c r="E53" i="22" s="1"/>
  <c r="H90" i="7"/>
  <c r="AD5" i="3"/>
  <c r="AD7" i="3" s="1"/>
  <c r="G53" i="22" l="1"/>
  <c r="F53" i="22"/>
  <c r="M60" i="4"/>
  <c r="B60" i="4"/>
  <c r="AD4" i="3"/>
  <c r="H99" i="20" l="1"/>
  <c r="I99" i="20" s="1"/>
  <c r="G12" i="20" s="1"/>
  <c r="I79" i="20"/>
  <c r="H98" i="20"/>
  <c r="I98" i="20" s="1"/>
  <c r="I51" i="20"/>
  <c r="I65" i="20"/>
  <c r="H97" i="20"/>
  <c r="I97" i="20" s="1"/>
  <c r="H96" i="20"/>
  <c r="I96" i="20" s="1"/>
  <c r="I36" i="20"/>
  <c r="E118" i="2"/>
  <c r="I101" i="20" l="1"/>
  <c r="I118" i="2"/>
  <c r="T7" i="3" s="1"/>
  <c r="F23" i="13" s="1"/>
  <c r="H23" i="13" s="1"/>
  <c r="F46" i="13"/>
  <c r="H46" i="13" s="1"/>
  <c r="T11" i="3"/>
  <c r="U31" i="3"/>
  <c r="U30" i="3"/>
  <c r="E179" i="9"/>
  <c r="D163" i="9"/>
  <c r="F163" i="9"/>
  <c r="D164" i="9"/>
  <c r="F164" i="9"/>
  <c r="D165" i="9"/>
  <c r="F165" i="9"/>
  <c r="D166" i="9"/>
  <c r="F166" i="9"/>
  <c r="D167" i="9"/>
  <c r="F167" i="9"/>
  <c r="G167" i="9" s="1"/>
  <c r="D168" i="9"/>
  <c r="F168" i="9"/>
  <c r="D169" i="9"/>
  <c r="F169" i="9"/>
  <c r="D170" i="9"/>
  <c r="F170" i="9"/>
  <c r="D173" i="9"/>
  <c r="F173" i="9"/>
  <c r="G173" i="9" s="1"/>
  <c r="F162" i="9"/>
  <c r="G162" i="9" s="1"/>
  <c r="D162" i="9"/>
  <c r="F27" i="13" l="1"/>
  <c r="H27" i="13" s="1"/>
  <c r="J27" i="13" s="1"/>
  <c r="F25" i="13"/>
  <c r="H25" i="13" s="1"/>
  <c r="E223" i="9"/>
  <c r="D223" i="9"/>
  <c r="F19" i="13"/>
  <c r="H19" i="13" s="1"/>
  <c r="H169" i="9"/>
  <c r="D174" i="9"/>
  <c r="H173" i="9"/>
  <c r="I173" i="9" s="1"/>
  <c r="H164" i="9"/>
  <c r="E222" i="9"/>
  <c r="H167" i="9"/>
  <c r="H170" i="9"/>
  <c r="H165" i="9"/>
  <c r="H168" i="9"/>
  <c r="E167" i="9"/>
  <c r="E173" i="9"/>
  <c r="D202" i="9" s="1"/>
  <c r="H163" i="9"/>
  <c r="H166" i="9"/>
  <c r="D221" i="9"/>
  <c r="E221" i="9"/>
  <c r="D220" i="9"/>
  <c r="D224" i="9"/>
  <c r="E220" i="9"/>
  <c r="E224" i="9"/>
  <c r="D222" i="9"/>
  <c r="H162" i="9"/>
  <c r="I167" i="9" l="1"/>
  <c r="C184" i="9"/>
  <c r="C183" i="9"/>
  <c r="J25" i="13"/>
  <c r="J19" i="13"/>
  <c r="F223" i="9"/>
  <c r="I223" i="9" s="1"/>
  <c r="G224" i="9"/>
  <c r="H221" i="9"/>
  <c r="G223" i="9"/>
  <c r="H224" i="9"/>
  <c r="H220" i="9"/>
  <c r="G220" i="9"/>
  <c r="H222" i="9"/>
  <c r="H223" i="9"/>
  <c r="G222" i="9"/>
  <c r="G221" i="9"/>
  <c r="F221" i="9"/>
  <c r="I221" i="9" s="1"/>
  <c r="F222" i="9"/>
  <c r="I222" i="9" s="1"/>
  <c r="F224" i="9"/>
  <c r="I224" i="9" s="1"/>
  <c r="F220" i="9"/>
  <c r="I220" i="9" s="1"/>
  <c r="D196" i="9"/>
  <c r="E178" i="9"/>
  <c r="E181" i="9" s="1"/>
  <c r="A17" i="3"/>
  <c r="B17" i="3" s="1"/>
  <c r="A16" i="3"/>
  <c r="B16" i="3" s="1"/>
  <c r="AM19" i="10"/>
  <c r="AL19" i="10"/>
  <c r="AK19" i="10"/>
  <c r="AJ19" i="10"/>
  <c r="AI19" i="10"/>
  <c r="AH19" i="10"/>
  <c r="AG19" i="10"/>
  <c r="AF19" i="10"/>
  <c r="AE19" i="10"/>
  <c r="AD19" i="10"/>
  <c r="AB19" i="10"/>
  <c r="AA19" i="10"/>
  <c r="Z19" i="10"/>
  <c r="Y19" i="10"/>
  <c r="X19" i="10"/>
  <c r="AM18" i="10"/>
  <c r="AL18" i="10"/>
  <c r="AK18" i="10"/>
  <c r="AJ18" i="10"/>
  <c r="AI18" i="10"/>
  <c r="AH18" i="10"/>
  <c r="AG18" i="10"/>
  <c r="AF18" i="10"/>
  <c r="AE18" i="10"/>
  <c r="AD18" i="10"/>
  <c r="AB18" i="10"/>
  <c r="AA18" i="10"/>
  <c r="Z18" i="10"/>
  <c r="Y18" i="10"/>
  <c r="D26" i="10"/>
  <c r="D28" i="10" s="1"/>
  <c r="B29" i="10" s="1"/>
  <c r="W13" i="10" l="1"/>
  <c r="W23" i="10" s="1"/>
  <c r="E201" i="9"/>
  <c r="G201" i="9" s="1"/>
  <c r="E200" i="9"/>
  <c r="G200" i="9" s="1"/>
  <c r="AA14" i="10"/>
  <c r="B62" i="10"/>
  <c r="W15" i="10"/>
  <c r="X15" i="10" s="1"/>
  <c r="X22" i="10" s="1"/>
  <c r="AA15" i="10"/>
  <c r="E202" i="9"/>
  <c r="E196" i="9"/>
  <c r="E180" i="9"/>
  <c r="W14" i="10"/>
  <c r="X14" i="10" s="1"/>
  <c r="B57" i="10"/>
  <c r="F179" i="9" l="1"/>
  <c r="F178" i="9"/>
  <c r="F180" i="9"/>
  <c r="F181" i="9"/>
  <c r="AK28" i="10"/>
  <c r="AC28" i="10"/>
  <c r="Y28" i="10"/>
  <c r="AJ28" i="10"/>
  <c r="AB28" i="10"/>
  <c r="AI28" i="10"/>
  <c r="AA28" i="10"/>
  <c r="AH28" i="10"/>
  <c r="Z28" i="10"/>
  <c r="X28" i="10"/>
  <c r="X30" i="10" s="1"/>
  <c r="X31" i="10" s="1"/>
  <c r="AG28" i="10"/>
  <c r="AD28" i="10"/>
  <c r="AF28" i="10"/>
  <c r="AL28" i="10"/>
  <c r="AM28" i="10"/>
  <c r="AE28" i="10"/>
  <c r="AD21" i="10"/>
  <c r="AC21" i="10"/>
  <c r="AB21" i="10"/>
  <c r="Y21" i="10"/>
  <c r="AI27" i="10"/>
  <c r="AA27" i="10"/>
  <c r="AH27" i="10"/>
  <c r="Z27" i="10"/>
  <c r="AG27" i="10"/>
  <c r="Y27" i="10"/>
  <c r="AF27" i="10"/>
  <c r="AJ27" i="10"/>
  <c r="AJ30" i="10" s="1"/>
  <c r="AJ31" i="10" s="1"/>
  <c r="AM27" i="10"/>
  <c r="AE27" i="10"/>
  <c r="AL27" i="10"/>
  <c r="AD27" i="10"/>
  <c r="AB27" i="10"/>
  <c r="AK27" i="10"/>
  <c r="AC27" i="10"/>
  <c r="AG22" i="10"/>
  <c r="AC22" i="10"/>
  <c r="AI21" i="10"/>
  <c r="AH22" i="10"/>
  <c r="AK22" i="10"/>
  <c r="Z22" i="10"/>
  <c r="AI22" i="10"/>
  <c r="X24" i="10"/>
  <c r="X25" i="10" s="1"/>
  <c r="AA22" i="10"/>
  <c r="AE22" i="10"/>
  <c r="AD22" i="10"/>
  <c r="AL22" i="10"/>
  <c r="AM22" i="10"/>
  <c r="AF22" i="10"/>
  <c r="AB22" i="10"/>
  <c r="AJ22" i="10"/>
  <c r="Y22" i="10"/>
  <c r="AK21" i="10"/>
  <c r="AF21" i="10"/>
  <c r="AL21" i="10"/>
  <c r="AJ21" i="10"/>
  <c r="AM21" i="10"/>
  <c r="AG21" i="10"/>
  <c r="Z21" i="10"/>
  <c r="AH21" i="10"/>
  <c r="AE21" i="10"/>
  <c r="AA21" i="10"/>
  <c r="AK30" i="10" l="1"/>
  <c r="AK31" i="10" s="1"/>
  <c r="Z30" i="10"/>
  <c r="Z31" i="10" s="1"/>
  <c r="AD30" i="10"/>
  <c r="AD31" i="10" s="1"/>
  <c r="AE30" i="10"/>
  <c r="AE31" i="10" s="1"/>
  <c r="AG24" i="10"/>
  <c r="AG25" i="10" s="1"/>
  <c r="AB30" i="10"/>
  <c r="AB31" i="10" s="1"/>
  <c r="AL30" i="10"/>
  <c r="AL31" i="10" s="1"/>
  <c r="AF30" i="10"/>
  <c r="AF31" i="10" s="1"/>
  <c r="AC30" i="10"/>
  <c r="AC31" i="10" s="1"/>
  <c r="AH30" i="10"/>
  <c r="AH31" i="10" s="1"/>
  <c r="AA30" i="10"/>
  <c r="AA31" i="10" s="1"/>
  <c r="AM30" i="10"/>
  <c r="AM31" i="10" s="1"/>
  <c r="AI30" i="10"/>
  <c r="AI31" i="10" s="1"/>
  <c r="AI24" i="10"/>
  <c r="AI25" i="10" s="1"/>
  <c r="Y30" i="10"/>
  <c r="Y31" i="10" s="1"/>
  <c r="AG30" i="10"/>
  <c r="AG31" i="10" s="1"/>
  <c r="AC24" i="10"/>
  <c r="AC25" i="10" s="1"/>
  <c r="AB24" i="10"/>
  <c r="AB25" i="10" s="1"/>
  <c r="AM24" i="10"/>
  <c r="AM25" i="10" s="1"/>
  <c r="AH24" i="10"/>
  <c r="AH25" i="10" s="1"/>
  <c r="AL24" i="10"/>
  <c r="AL25" i="10" s="1"/>
  <c r="AD24" i="10"/>
  <c r="AD25" i="10" s="1"/>
  <c r="AK24" i="10"/>
  <c r="AK25" i="10" s="1"/>
  <c r="AE24" i="10"/>
  <c r="AE25" i="10" s="1"/>
  <c r="AJ24" i="10"/>
  <c r="AJ25" i="10" s="1"/>
  <c r="Z24" i="10"/>
  <c r="Z25" i="10" s="1"/>
  <c r="Y24" i="10"/>
  <c r="Y25" i="10" s="1"/>
  <c r="AF24" i="10"/>
  <c r="AF25" i="10" s="1"/>
  <c r="AA24" i="10"/>
  <c r="AA25" i="10" s="1"/>
  <c r="F74" i="2"/>
  <c r="G32" i="4" l="1"/>
  <c r="H32" i="4" s="1"/>
  <c r="I107" i="2"/>
  <c r="H304" i="9" l="1"/>
  <c r="I304" i="9" s="1"/>
  <c r="I310" i="9" s="1"/>
  <c r="I312" i="9" s="1"/>
  <c r="H322" i="9"/>
  <c r="I322" i="9" s="1"/>
  <c r="I328" i="9" s="1"/>
  <c r="I330" i="9" s="1"/>
  <c r="F66" i="9"/>
  <c r="F193" i="9"/>
  <c r="T10" i="3"/>
  <c r="F24" i="13" s="1"/>
  <c r="H24" i="13" s="1"/>
  <c r="J24" i="13" s="1"/>
  <c r="T8" i="3"/>
  <c r="G41" i="4"/>
  <c r="G38" i="4"/>
  <c r="G31" i="4"/>
  <c r="I100" i="2"/>
  <c r="C313" i="9" l="1"/>
  <c r="E32" i="2"/>
  <c r="C331" i="9"/>
  <c r="F30" i="13"/>
  <c r="H30" i="13" s="1"/>
  <c r="F20" i="13"/>
  <c r="H20" i="13" s="1"/>
  <c r="J20" i="13" s="1"/>
  <c r="G47" i="4"/>
  <c r="H47" i="4" s="1"/>
  <c r="F22" i="13"/>
  <c r="H22" i="13" s="1"/>
  <c r="G28" i="4"/>
  <c r="G45" i="4"/>
  <c r="H45" i="4" s="1"/>
  <c r="G29" i="4"/>
  <c r="G46" i="4"/>
  <c r="H46" i="4" s="1"/>
  <c r="F197" i="9"/>
  <c r="F70" i="9"/>
  <c r="F199" i="9"/>
  <c r="F72" i="9"/>
  <c r="D67" i="10"/>
  <c r="E30" i="8"/>
  <c r="G42" i="4"/>
  <c r="F69" i="9"/>
  <c r="F196" i="9"/>
  <c r="T9" i="3"/>
  <c r="F26" i="13" s="1"/>
  <c r="H26" i="13" s="1"/>
  <c r="F198" i="9"/>
  <c r="F71" i="9"/>
  <c r="T6" i="3"/>
  <c r="F67" i="9"/>
  <c r="F194" i="9"/>
  <c r="F68" i="9"/>
  <c r="F195" i="9"/>
  <c r="E52" i="9"/>
  <c r="G70" i="17" l="1"/>
  <c r="F21" i="13"/>
  <c r="H21" i="13" s="1"/>
  <c r="J21" i="13" s="1"/>
  <c r="J22" i="13"/>
  <c r="J23" i="13"/>
  <c r="J26" i="13"/>
  <c r="G18" i="17"/>
  <c r="F38" i="13"/>
  <c r="H38" i="13" s="1"/>
  <c r="F45" i="13"/>
  <c r="H45" i="13" s="1"/>
  <c r="F31" i="13"/>
  <c r="H31" i="13" s="1"/>
  <c r="J31" i="13" s="1"/>
  <c r="F42" i="13"/>
  <c r="H42" i="13" s="1"/>
  <c r="F35" i="13"/>
  <c r="H35" i="13" s="1"/>
  <c r="F39" i="13"/>
  <c r="H39" i="13" s="1"/>
  <c r="F28" i="13"/>
  <c r="H28" i="13" s="1"/>
  <c r="J28" i="13" s="1"/>
  <c r="F32" i="13"/>
  <c r="H32" i="13" s="1"/>
  <c r="F36" i="13"/>
  <c r="H36" i="13" s="1"/>
  <c r="F40" i="13"/>
  <c r="H40" i="13" s="1"/>
  <c r="F43" i="13"/>
  <c r="H43" i="13" s="1"/>
  <c r="F34" i="13"/>
  <c r="H34" i="13" s="1"/>
  <c r="F33" i="13"/>
  <c r="H33" i="13" s="1"/>
  <c r="F37" i="13"/>
  <c r="H37" i="13" s="1"/>
  <c r="F41" i="13"/>
  <c r="H41" i="13" s="1"/>
  <c r="F44" i="13"/>
  <c r="H44" i="13" s="1"/>
  <c r="F47" i="13"/>
  <c r="H47" i="13" s="1"/>
  <c r="J47" i="13" s="1"/>
  <c r="F29" i="13"/>
  <c r="H29" i="13" s="1"/>
  <c r="F48" i="13"/>
  <c r="H48" i="13" s="1"/>
  <c r="F36" i="9"/>
  <c r="F37" i="9"/>
  <c r="F38" i="9"/>
  <c r="F39" i="9"/>
  <c r="F40" i="9"/>
  <c r="F41" i="9"/>
  <c r="F42" i="9"/>
  <c r="F43" i="9"/>
  <c r="F46" i="9"/>
  <c r="F35" i="9"/>
  <c r="D38" i="9"/>
  <c r="D36" i="9"/>
  <c r="D37" i="9"/>
  <c r="D39" i="9"/>
  <c r="D40" i="9"/>
  <c r="D42" i="9"/>
  <c r="D43" i="9"/>
  <c r="D46" i="9"/>
  <c r="D93" i="9"/>
  <c r="E162" i="9"/>
  <c r="E165" i="9"/>
  <c r="D94" i="9" l="1"/>
  <c r="E36" i="2"/>
  <c r="D21" i="9"/>
  <c r="H19" i="7"/>
  <c r="I99" i="7" s="1"/>
  <c r="H69" i="13"/>
  <c r="J29" i="13"/>
  <c r="J33" i="13"/>
  <c r="J30" i="13"/>
  <c r="J45" i="13"/>
  <c r="J40" i="13"/>
  <c r="J36" i="13"/>
  <c r="J48" i="13"/>
  <c r="J37" i="13"/>
  <c r="J49" i="13"/>
  <c r="J39" i="13"/>
  <c r="J34" i="13"/>
  <c r="J43" i="13"/>
  <c r="J46" i="13"/>
  <c r="J35" i="13"/>
  <c r="J41" i="13"/>
  <c r="J32" i="13"/>
  <c r="J42" i="13"/>
  <c r="J38" i="13"/>
  <c r="J44" i="13"/>
  <c r="E96" i="9"/>
  <c r="D96" i="9"/>
  <c r="E164" i="9"/>
  <c r="G164" i="9"/>
  <c r="D191" i="9"/>
  <c r="E191" i="9" s="1"/>
  <c r="I162" i="9"/>
  <c r="G165" i="9"/>
  <c r="I165" i="9" s="1"/>
  <c r="D77" i="17"/>
  <c r="D78" i="17"/>
  <c r="D79" i="17"/>
  <c r="D80" i="17"/>
  <c r="D76" i="17"/>
  <c r="G40" i="9"/>
  <c r="G166" i="9"/>
  <c r="E166" i="9"/>
  <c r="G163" i="9"/>
  <c r="E163" i="9"/>
  <c r="E168" i="9"/>
  <c r="G168" i="9"/>
  <c r="G46" i="9"/>
  <c r="G43" i="9"/>
  <c r="E169" i="9"/>
  <c r="G169" i="9"/>
  <c r="G170" i="9"/>
  <c r="E170" i="9"/>
  <c r="G42" i="9"/>
  <c r="G38" i="9"/>
  <c r="D95" i="9"/>
  <c r="D97" i="9"/>
  <c r="G35" i="9"/>
  <c r="D64" i="9" s="1"/>
  <c r="E93" i="9"/>
  <c r="G41" i="9"/>
  <c r="G39" i="9"/>
  <c r="E97" i="9"/>
  <c r="G37" i="9"/>
  <c r="E95" i="9"/>
  <c r="G36" i="9"/>
  <c r="E94" i="9"/>
  <c r="E37" i="9"/>
  <c r="H37" i="9"/>
  <c r="E36" i="9"/>
  <c r="H36" i="9"/>
  <c r="E38" i="9"/>
  <c r="H38" i="9"/>
  <c r="E39" i="9"/>
  <c r="H39" i="9"/>
  <c r="E46" i="9"/>
  <c r="H46" i="9"/>
  <c r="H35" i="9"/>
  <c r="E41" i="9"/>
  <c r="H41" i="9"/>
  <c r="E43" i="9"/>
  <c r="H43" i="9"/>
  <c r="E40" i="9"/>
  <c r="H40" i="9"/>
  <c r="E42" i="9"/>
  <c r="H42" i="9"/>
  <c r="D47" i="9"/>
  <c r="H36" i="2" l="1"/>
  <c r="E32" i="22" s="1"/>
  <c r="D32" i="22"/>
  <c r="C57" i="9"/>
  <c r="C56" i="9"/>
  <c r="D65" i="9"/>
  <c r="F96" i="9"/>
  <c r="I96" i="9" s="1"/>
  <c r="E98" i="7"/>
  <c r="D81" i="17"/>
  <c r="I164" i="9"/>
  <c r="D193" i="9"/>
  <c r="E193" i="9" s="1"/>
  <c r="D194" i="9"/>
  <c r="E194" i="9" s="1"/>
  <c r="D198" i="9"/>
  <c r="E198" i="9" s="1"/>
  <c r="I169" i="9"/>
  <c r="D197" i="9"/>
  <c r="E197" i="9" s="1"/>
  <c r="I168" i="9"/>
  <c r="D192" i="9"/>
  <c r="E192" i="9" s="1"/>
  <c r="I163" i="9"/>
  <c r="D199" i="9"/>
  <c r="E199" i="9" s="1"/>
  <c r="I170" i="9"/>
  <c r="I166" i="9"/>
  <c r="D195" i="9"/>
  <c r="E195" i="9" s="1"/>
  <c r="D267" i="9" s="1"/>
  <c r="E51" i="9"/>
  <c r="E53" i="9" s="1"/>
  <c r="I40" i="9"/>
  <c r="I46" i="9"/>
  <c r="I37" i="9"/>
  <c r="I43" i="9"/>
  <c r="I39" i="9"/>
  <c r="I41" i="9"/>
  <c r="I38" i="9"/>
  <c r="I42" i="9"/>
  <c r="I35" i="9"/>
  <c r="F94" i="9"/>
  <c r="I94" i="9" s="1"/>
  <c r="I36" i="9"/>
  <c r="F93" i="9"/>
  <c r="I93" i="9" s="1"/>
  <c r="F95" i="9"/>
  <c r="I95" i="9" s="1"/>
  <c r="H97" i="9"/>
  <c r="G96" i="9"/>
  <c r="H96" i="9"/>
  <c r="H93" i="9"/>
  <c r="G97" i="9"/>
  <c r="H94" i="9"/>
  <c r="G93" i="9"/>
  <c r="G95" i="9"/>
  <c r="H95" i="9"/>
  <c r="G94" i="9"/>
  <c r="F97" i="9"/>
  <c r="I97" i="9" s="1"/>
  <c r="H32" i="22" l="1"/>
  <c r="G32" i="22"/>
  <c r="F52" i="9"/>
  <c r="F54" i="9"/>
  <c r="F53" i="9"/>
  <c r="F51" i="9"/>
  <c r="I47" i="9"/>
  <c r="D266" i="9"/>
  <c r="I174" i="9"/>
  <c r="E54" i="9"/>
  <c r="C208" i="9" l="1"/>
  <c r="D59" i="22"/>
  <c r="C81" i="9"/>
  <c r="D58" i="22"/>
  <c r="E74" i="9"/>
  <c r="G74" i="9" s="1"/>
  <c r="E73" i="9"/>
  <c r="G73" i="9" s="1"/>
  <c r="G195" i="9"/>
  <c r="G193" i="9"/>
  <c r="G198" i="9"/>
  <c r="G192" i="9"/>
  <c r="G264" i="9" s="1"/>
  <c r="G194" i="9"/>
  <c r="G196" i="9"/>
  <c r="G191" i="9"/>
  <c r="G199" i="9"/>
  <c r="G267" i="9" l="1"/>
  <c r="G265" i="9"/>
  <c r="D264" i="9"/>
  <c r="E203" i="9"/>
  <c r="D265" i="9"/>
  <c r="D263" i="9"/>
  <c r="G197" i="9"/>
  <c r="G266" i="9" s="1"/>
  <c r="G263" i="9"/>
  <c r="E76" i="2"/>
  <c r="E77" i="2" s="1"/>
  <c r="C206" i="9" l="1"/>
  <c r="C209" i="9"/>
  <c r="C49" i="2"/>
  <c r="G44" i="2"/>
  <c r="E71" i="22" s="1"/>
  <c r="H71" i="22" s="1"/>
  <c r="C207" i="9"/>
  <c r="G203" i="9"/>
  <c r="D268" i="9"/>
  <c r="G268" i="9"/>
  <c r="D19" i="9" l="1"/>
  <c r="C205" i="9"/>
  <c r="B49" i="19"/>
  <c r="B50" i="19"/>
  <c r="H29" i="7"/>
  <c r="G11" i="19"/>
  <c r="H44" i="2"/>
  <c r="E41" i="22" s="1"/>
  <c r="H17" i="7"/>
  <c r="I97" i="7" s="1"/>
  <c r="E33" i="2"/>
  <c r="E268" i="9"/>
  <c r="E267" i="9"/>
  <c r="E263" i="9"/>
  <c r="E264" i="9"/>
  <c r="E266" i="9"/>
  <c r="E265" i="9"/>
  <c r="H268" i="9"/>
  <c r="H264" i="9"/>
  <c r="H267" i="9"/>
  <c r="H266" i="9"/>
  <c r="H265" i="9"/>
  <c r="H263" i="9"/>
  <c r="H41" i="22" l="1"/>
  <c r="G41" i="22"/>
  <c r="H33" i="2"/>
  <c r="E30" i="22" s="1"/>
  <c r="D30" i="22"/>
  <c r="E96" i="7"/>
  <c r="D4" i="2"/>
  <c r="H30" i="22" l="1"/>
  <c r="G30" i="22"/>
  <c r="Z21" i="3"/>
  <c r="Z13" i="3"/>
  <c r="Z15" i="3" l="1"/>
  <c r="Z14" i="3"/>
  <c r="E48" i="20" s="1"/>
  <c r="E49" i="20" s="1"/>
  <c r="Z22" i="3"/>
  <c r="E62" i="20"/>
  <c r="E63" i="20" s="1"/>
  <c r="F121" i="5"/>
  <c r="F120" i="5"/>
  <c r="D75" i="9"/>
  <c r="C11" i="20" l="1"/>
  <c r="G67" i="20"/>
  <c r="C10" i="20"/>
  <c r="G53" i="20"/>
  <c r="D71" i="9"/>
  <c r="D72" i="9"/>
  <c r="D69" i="9"/>
  <c r="D67" i="9"/>
  <c r="Z5" i="3"/>
  <c r="G68" i="20" l="1"/>
  <c r="G11" i="20"/>
  <c r="G54" i="20"/>
  <c r="G10" i="20"/>
  <c r="Z6" i="3"/>
  <c r="E33" i="20" s="1"/>
  <c r="E34" i="20" s="1"/>
  <c r="D69" i="22" s="1"/>
  <c r="E69" i="22" s="1"/>
  <c r="H69" i="22" s="1"/>
  <c r="D68" i="9"/>
  <c r="D66" i="9"/>
  <c r="D70" i="9"/>
  <c r="C9" i="20" l="1"/>
  <c r="G38" i="20"/>
  <c r="F119" i="5"/>
  <c r="E157" i="5" s="1"/>
  <c r="F118" i="5"/>
  <c r="G39" i="20" l="1"/>
  <c r="G9" i="20"/>
  <c r="G13" i="20" s="1"/>
  <c r="B16" i="20" s="1"/>
  <c r="E156" i="5"/>
  <c r="F156" i="5" s="1"/>
  <c r="F117" i="5"/>
  <c r="E99" i="1"/>
  <c r="E98" i="1"/>
  <c r="E97" i="1"/>
  <c r="E96" i="1"/>
  <c r="D54" i="10"/>
  <c r="R38" i="10" s="1"/>
  <c r="H27" i="7" l="1"/>
  <c r="H33" i="7" s="1"/>
  <c r="G9" i="19"/>
  <c r="E42" i="2"/>
  <c r="E158" i="5"/>
  <c r="F158" i="5" s="1"/>
  <c r="E155" i="5"/>
  <c r="F155" i="5" s="1"/>
  <c r="F137" i="5"/>
  <c r="T47" i="10"/>
  <c r="T49" i="10"/>
  <c r="T45" i="10"/>
  <c r="T48" i="10"/>
  <c r="T42" i="10"/>
  <c r="T46" i="10"/>
  <c r="T38" i="10"/>
  <c r="T41" i="10"/>
  <c r="T40" i="10"/>
  <c r="T43" i="10"/>
  <c r="T39" i="10"/>
  <c r="T44" i="10"/>
  <c r="R44" i="10"/>
  <c r="R47" i="10"/>
  <c r="R45" i="10"/>
  <c r="R49" i="10"/>
  <c r="R42" i="10"/>
  <c r="R41" i="10"/>
  <c r="R39" i="10"/>
  <c r="R48" i="10"/>
  <c r="R43" i="10"/>
  <c r="R40" i="10"/>
  <c r="R46" i="10"/>
  <c r="H42" i="2" l="1"/>
  <c r="E39" i="22" s="1"/>
  <c r="D39" i="22"/>
  <c r="E100" i="7"/>
  <c r="O13" i="7"/>
  <c r="I101" i="7"/>
  <c r="F138" i="5"/>
  <c r="E146" i="5" s="1"/>
  <c r="B148" i="5" s="1"/>
  <c r="R50" i="10"/>
  <c r="T50" i="10"/>
  <c r="T51" i="10" s="1"/>
  <c r="H39" i="22" l="1"/>
  <c r="G39" i="22"/>
  <c r="H23" i="7"/>
  <c r="H24" i="7" s="1"/>
  <c r="O12" i="7" s="1"/>
  <c r="D146" i="5"/>
  <c r="E38" i="2"/>
  <c r="R51" i="10"/>
  <c r="D62" i="10"/>
  <c r="D63" i="10" s="1"/>
  <c r="U36" i="10" s="1"/>
  <c r="D57" i="10"/>
  <c r="D35" i="22" l="1"/>
  <c r="H38" i="2"/>
  <c r="E35" i="22" s="1"/>
  <c r="U44" i="10"/>
  <c r="U43" i="10"/>
  <c r="U39" i="10"/>
  <c r="U42" i="10"/>
  <c r="U46" i="10"/>
  <c r="U48" i="10"/>
  <c r="U40" i="10"/>
  <c r="U45" i="10"/>
  <c r="U38" i="10"/>
  <c r="U49" i="10"/>
  <c r="U41" i="10"/>
  <c r="U47" i="10"/>
  <c r="E99" i="7"/>
  <c r="D58" i="10"/>
  <c r="S36" i="10" s="1"/>
  <c r="S38" i="10" s="1"/>
  <c r="I100" i="7"/>
  <c r="E75" i="9"/>
  <c r="H35" i="22" l="1"/>
  <c r="G35" i="22"/>
  <c r="U50" i="10"/>
  <c r="S40" i="10"/>
  <c r="S48" i="10"/>
  <c r="S39" i="10"/>
  <c r="S49" i="10"/>
  <c r="S45" i="10"/>
  <c r="S41" i="10"/>
  <c r="S43" i="10"/>
  <c r="S46" i="10"/>
  <c r="S42" i="10"/>
  <c r="S47" i="10"/>
  <c r="S44" i="10"/>
  <c r="S50" i="10"/>
  <c r="D65" i="10"/>
  <c r="D55" i="22" s="1"/>
  <c r="E55" i="22" s="1"/>
  <c r="E71" i="9"/>
  <c r="G71" i="9" s="1"/>
  <c r="E66" i="9"/>
  <c r="E67" i="9"/>
  <c r="G67" i="9" s="1"/>
  <c r="E68" i="9"/>
  <c r="E72" i="9"/>
  <c r="G72" i="9" s="1"/>
  <c r="E69" i="9"/>
  <c r="G69" i="9" s="1"/>
  <c r="E65" i="9"/>
  <c r="E64" i="9"/>
  <c r="E70" i="9"/>
  <c r="E26" i="8"/>
  <c r="H38" i="4"/>
  <c r="H42" i="4"/>
  <c r="H41" i="4"/>
  <c r="H29" i="4"/>
  <c r="H31" i="4"/>
  <c r="H34" i="4"/>
  <c r="H28" i="4"/>
  <c r="F55" i="22" l="1"/>
  <c r="G55" i="22"/>
  <c r="M41" i="8"/>
  <c r="B42" i="8" s="1"/>
  <c r="B41" i="8"/>
  <c r="D139" i="9"/>
  <c r="D69" i="10"/>
  <c r="D26" i="22" s="1"/>
  <c r="B5" i="3"/>
  <c r="D140" i="9"/>
  <c r="H49" i="4"/>
  <c r="H51" i="4" s="1"/>
  <c r="D24" i="22" s="1"/>
  <c r="D136" i="9"/>
  <c r="E76" i="9"/>
  <c r="C82" i="9" s="1"/>
  <c r="G66" i="9"/>
  <c r="G138" i="9" s="1"/>
  <c r="D138" i="9"/>
  <c r="G70" i="9"/>
  <c r="G139" i="9" s="1"/>
  <c r="G65" i="9"/>
  <c r="G137" i="9" s="1"/>
  <c r="D137" i="9"/>
  <c r="G68" i="9"/>
  <c r="G140" i="9" s="1"/>
  <c r="G64" i="9"/>
  <c r="C79" i="9" l="1"/>
  <c r="M59" i="4"/>
  <c r="B62" i="4" s="1"/>
  <c r="B71" i="10"/>
  <c r="E27" i="2"/>
  <c r="H10" i="7"/>
  <c r="E29" i="2"/>
  <c r="H12" i="7"/>
  <c r="Q38" i="10"/>
  <c r="C85" i="10" s="1"/>
  <c r="Q39" i="10"/>
  <c r="C86" i="10" s="1"/>
  <c r="G76" i="9"/>
  <c r="Q40" i="10"/>
  <c r="C87" i="10" s="1"/>
  <c r="Q41" i="10"/>
  <c r="C88" i="10" s="1"/>
  <c r="Q48" i="10"/>
  <c r="C95" i="10" s="1"/>
  <c r="Q42" i="10"/>
  <c r="C89" i="10" s="1"/>
  <c r="Q49" i="10"/>
  <c r="C96" i="10" s="1"/>
  <c r="Q44" i="10"/>
  <c r="C91" i="10" s="1"/>
  <c r="Q47" i="10"/>
  <c r="C94" i="10" s="1"/>
  <c r="Q46" i="10"/>
  <c r="C93" i="10" s="1"/>
  <c r="Q43" i="10"/>
  <c r="C90" i="10" s="1"/>
  <c r="Q45" i="10"/>
  <c r="C92" i="10" s="1"/>
  <c r="B4" i="3"/>
  <c r="E73" i="10" s="1"/>
  <c r="E32" i="8"/>
  <c r="D25" i="22" s="1"/>
  <c r="D141" i="9"/>
  <c r="G136" i="9"/>
  <c r="B61" i="4" l="1"/>
  <c r="H29" i="2"/>
  <c r="E26" i="22" s="1"/>
  <c r="D18" i="9"/>
  <c r="C78" i="9"/>
  <c r="B34" i="8"/>
  <c r="I95" i="7"/>
  <c r="H27" i="2"/>
  <c r="E24" i="22" s="1"/>
  <c r="H16" i="7"/>
  <c r="E31" i="2"/>
  <c r="E28" i="2"/>
  <c r="H28" i="2" s="1"/>
  <c r="E25" i="22" s="1"/>
  <c r="H11" i="7"/>
  <c r="E94" i="7" s="1"/>
  <c r="E93" i="7"/>
  <c r="Q50" i="10"/>
  <c r="C97" i="10"/>
  <c r="E141" i="9"/>
  <c r="E140" i="9"/>
  <c r="P99" i="10"/>
  <c r="P98" i="10"/>
  <c r="P101" i="10"/>
  <c r="E137" i="9"/>
  <c r="E138" i="9"/>
  <c r="G141" i="9"/>
  <c r="H136" i="9" s="1"/>
  <c r="E136" i="9"/>
  <c r="E139" i="9"/>
  <c r="C80" i="9"/>
  <c r="H31" i="2" l="1"/>
  <c r="E29" i="22" s="1"/>
  <c r="D29" i="22"/>
  <c r="H25" i="22"/>
  <c r="G25" i="22"/>
  <c r="H26" i="22"/>
  <c r="G26" i="22"/>
  <c r="H24" i="22"/>
  <c r="G24" i="22"/>
  <c r="B53" i="4"/>
  <c r="Q87" i="10"/>
  <c r="E87" i="10" s="1"/>
  <c r="D87" i="10" s="1"/>
  <c r="Q98" i="10"/>
  <c r="Q93" i="10"/>
  <c r="E93" i="10" s="1"/>
  <c r="D93" i="10" s="1"/>
  <c r="Q96" i="10"/>
  <c r="E96" i="10" s="1"/>
  <c r="D96" i="10" s="1"/>
  <c r="Q95" i="10"/>
  <c r="E95" i="10" s="1"/>
  <c r="D95" i="10" s="1"/>
  <c r="Q94" i="10"/>
  <c r="E94" i="10" s="1"/>
  <c r="D94" i="10" s="1"/>
  <c r="Q91" i="10"/>
  <c r="E91" i="10" s="1"/>
  <c r="D91" i="10" s="1"/>
  <c r="Q86" i="10"/>
  <c r="E86" i="10" s="1"/>
  <c r="D86" i="10" s="1"/>
  <c r="Q89" i="10"/>
  <c r="E89" i="10" s="1"/>
  <c r="D89" i="10" s="1"/>
  <c r="Q88" i="10"/>
  <c r="E88" i="10" s="1"/>
  <c r="D88" i="10" s="1"/>
  <c r="Q92" i="10"/>
  <c r="E92" i="10" s="1"/>
  <c r="D92" i="10" s="1"/>
  <c r="Q85" i="10"/>
  <c r="Q90" i="10"/>
  <c r="E90" i="10" s="1"/>
  <c r="D90" i="10" s="1"/>
  <c r="I93" i="7"/>
  <c r="E95" i="7"/>
  <c r="I96" i="7"/>
  <c r="H141" i="9"/>
  <c r="H140" i="9"/>
  <c r="H137" i="9"/>
  <c r="H138" i="9"/>
  <c r="H139" i="9"/>
  <c r="H29" i="22" l="1"/>
  <c r="G29" i="22"/>
  <c r="E85" i="10"/>
  <c r="Q97" i="10"/>
  <c r="H13" i="7"/>
  <c r="I94" i="7"/>
  <c r="O10" i="7" l="1"/>
  <c r="D85" i="10"/>
  <c r="D97" i="10" s="1"/>
  <c r="E97" i="10"/>
  <c r="L32" i="13"/>
  <c r="L37" i="13"/>
  <c r="L44" i="13"/>
  <c r="L41" i="13"/>
  <c r="L46" i="13"/>
  <c r="L43" i="13"/>
  <c r="L33" i="13"/>
  <c r="L35" i="13"/>
  <c r="L45" i="13"/>
  <c r="L39" i="13"/>
  <c r="L48" i="13"/>
  <c r="L40" i="13"/>
  <c r="L30" i="13"/>
  <c r="L38" i="13"/>
  <c r="L42" i="13"/>
  <c r="L29" i="13"/>
  <c r="L36" i="13"/>
  <c r="L34" i="13"/>
  <c r="L49" i="13"/>
  <c r="L26" i="13"/>
  <c r="L23" i="13"/>
  <c r="L31" i="13"/>
  <c r="L61" i="13"/>
  <c r="L57" i="13"/>
  <c r="L68" i="13"/>
  <c r="L25" i="13"/>
  <c r="L22" i="13"/>
  <c r="L47" i="13"/>
  <c r="L53" i="13"/>
  <c r="L63" i="13"/>
  <c r="L66" i="13"/>
  <c r="L24" i="13"/>
  <c r="L21" i="13"/>
  <c r="L64" i="13"/>
  <c r="L52" i="13"/>
  <c r="L54" i="13"/>
  <c r="L50" i="13"/>
  <c r="L60" i="13"/>
  <c r="L65" i="13"/>
  <c r="L20" i="13"/>
  <c r="L28" i="13"/>
  <c r="L59" i="13"/>
  <c r="L51" i="13"/>
  <c r="L56" i="13"/>
  <c r="L62" i="13"/>
  <c r="L27" i="13"/>
  <c r="L55" i="13"/>
  <c r="L58" i="13"/>
  <c r="L67" i="13"/>
  <c r="H16" i="13"/>
  <c r="L19" i="13"/>
  <c r="E35" i="2" l="1"/>
  <c r="H18" i="7"/>
  <c r="I98" i="7" s="1"/>
  <c r="D20" i="9"/>
  <c r="D23" i="9" s="1"/>
  <c r="D85" i="13"/>
  <c r="C85" i="13" s="1" a="1"/>
  <c r="C85" i="13" s="1"/>
  <c r="C75" i="13"/>
  <c r="D87" i="13"/>
  <c r="C79" i="13"/>
  <c r="C77" i="13"/>
  <c r="C76" i="13"/>
  <c r="C78" i="13"/>
  <c r="D86" i="13"/>
  <c r="D88" i="13"/>
  <c r="D89" i="13"/>
  <c r="H35" i="2" l="1"/>
  <c r="E31" i="22" s="1"/>
  <c r="D31" i="22"/>
  <c r="D45" i="22" s="1"/>
  <c r="H20" i="7"/>
  <c r="H35" i="7" s="1"/>
  <c r="I33" i="7" s="1"/>
  <c r="E97" i="7"/>
  <c r="B85" i="13" a="1"/>
  <c r="B85" i="13" s="1"/>
  <c r="B89" i="13" a="1"/>
  <c r="B89" i="13" s="1"/>
  <c r="C89" i="13" a="1"/>
  <c r="C89" i="13" s="1"/>
  <c r="C80" i="13"/>
  <c r="C87" i="13" a="1"/>
  <c r="C87" i="13" s="1"/>
  <c r="B87" i="13" a="1"/>
  <c r="B87" i="13" s="1"/>
  <c r="C86" i="13" a="1"/>
  <c r="C86" i="13" s="1"/>
  <c r="B86" i="13" a="1"/>
  <c r="B86" i="13" s="1"/>
  <c r="C88" i="13" a="1"/>
  <c r="C88" i="13" s="1"/>
  <c r="B88" i="13" a="1"/>
  <c r="B88" i="13" s="1"/>
  <c r="H31" i="22" l="1"/>
  <c r="G31" i="22"/>
  <c r="E45" i="22"/>
  <c r="F31" i="22" s="1"/>
  <c r="F97" i="7"/>
  <c r="F100" i="7"/>
  <c r="F93" i="7"/>
  <c r="F95" i="7"/>
  <c r="F94" i="7"/>
  <c r="F99" i="7"/>
  <c r="F96" i="7"/>
  <c r="F98" i="7"/>
  <c r="I20" i="7"/>
  <c r="O11" i="7"/>
  <c r="C90" i="13"/>
  <c r="F24" i="22" l="1"/>
  <c r="F35" i="22"/>
  <c r="F42" i="22"/>
  <c r="F43" i="22"/>
  <c r="F44" i="22"/>
  <c r="F39" i="22"/>
  <c r="F40" i="22"/>
  <c r="F41" i="22"/>
  <c r="F30" i="22"/>
  <c r="F25" i="22"/>
  <c r="F36" i="22"/>
  <c r="F32" i="22"/>
  <c r="F29" i="22"/>
  <c r="I24" i="7"/>
  <c r="H36" i="7"/>
  <c r="I13" i="7"/>
  <c r="F45" i="22"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<sst xmlns="http://schemas.openxmlformats.org/spreadsheetml/2006/main" count="3780" uniqueCount="1535">
  <si>
    <t>Inhaltsverzeichnis</t>
  </si>
  <si>
    <t>Verkehr &amp; Mobilität</t>
  </si>
  <si>
    <t>Ernährung &amp; Beschaffung</t>
  </si>
  <si>
    <t>Allgemeines</t>
  </si>
  <si>
    <t>Emissionsparameter</t>
  </si>
  <si>
    <t>Heizsystem</t>
  </si>
  <si>
    <t>Stromverbrauch</t>
  </si>
  <si>
    <t>bestehende PV-Anlage</t>
  </si>
  <si>
    <t>Emissionen Klassenfahrten</t>
  </si>
  <si>
    <t>Zusammenfassung</t>
  </si>
  <si>
    <t>Allgemeiner Teil</t>
  </si>
  <si>
    <t>Gebäudeenergie &amp; Erneuerbare</t>
  </si>
  <si>
    <t>-</t>
  </si>
  <si>
    <t>Zutat 1:</t>
  </si>
  <si>
    <t>Gas - Brennwertkessel</t>
  </si>
  <si>
    <t>Gas - Niedertemperaturkessel</t>
  </si>
  <si>
    <t>Gas - Blockheizkraftwerk</t>
  </si>
  <si>
    <t>Gas - Gaskessel</t>
  </si>
  <si>
    <t>Öl - Brennwertkessel</t>
  </si>
  <si>
    <t>Öl - Niedertemperaturkessel</t>
  </si>
  <si>
    <t>Öl - Ölkessel</t>
  </si>
  <si>
    <t>Holz - Holzhackschnitzel</t>
  </si>
  <si>
    <t>Holz - Holzpelletheizung</t>
  </si>
  <si>
    <t>Strom - Direktheizung</t>
  </si>
  <si>
    <t>Strom - Wärmepumpenheizung</t>
  </si>
  <si>
    <t>Gas - Brennstoffzellenheizung</t>
  </si>
  <si>
    <t>Gas - Gasheizung allgemein</t>
  </si>
  <si>
    <t>bitte wählen</t>
  </si>
  <si>
    <t>Öl - Ölheizung allgemein</t>
  </si>
  <si>
    <t>Gas</t>
  </si>
  <si>
    <t>Öl</t>
  </si>
  <si>
    <t>Holz</t>
  </si>
  <si>
    <t>Strom</t>
  </si>
  <si>
    <t>Energieträger</t>
  </si>
  <si>
    <t>kA</t>
  </si>
  <si>
    <t>Anfang Abrechnungszeitraum</t>
  </si>
  <si>
    <t>#FFFFCC</t>
  </si>
  <si>
    <t>Eingabefeld</t>
  </si>
  <si>
    <t>OE2</t>
  </si>
  <si>
    <t>#0093CB</t>
  </si>
  <si>
    <t>#006C71</t>
  </si>
  <si>
    <t>#E5143B</t>
  </si>
  <si>
    <t>WI Rot</t>
  </si>
  <si>
    <t>WI Grün</t>
  </si>
  <si>
    <t>S4F</t>
  </si>
  <si>
    <t>#006533</t>
  </si>
  <si>
    <t>Einheit</t>
  </si>
  <si>
    <t>Einheiten</t>
  </si>
  <si>
    <t>kWh</t>
  </si>
  <si>
    <t>m3</t>
  </si>
  <si>
    <t>Liter</t>
  </si>
  <si>
    <t>kg</t>
  </si>
  <si>
    <t>Erdgas</t>
  </si>
  <si>
    <t>Heizöl</t>
  </si>
  <si>
    <t>Energieverbrauch Heizung</t>
  </si>
  <si>
    <t>oder</t>
  </si>
  <si>
    <t>Fernwärme</t>
  </si>
  <si>
    <t>Summe:</t>
  </si>
  <si>
    <t>Anzahl Tage</t>
  </si>
  <si>
    <t>Jahresenergieverbrauch</t>
  </si>
  <si>
    <t>Holz (Hackschnitzel)</t>
  </si>
  <si>
    <t>Holz (Pellets)</t>
  </si>
  <si>
    <t>Stromverbrauch (nur bei Stromheizung!)</t>
  </si>
  <si>
    <t>&lt;= Start</t>
  </si>
  <si>
    <t>Ergebnis</t>
  </si>
  <si>
    <t>Name der Bildungseinrichtung</t>
  </si>
  <si>
    <t>Schulform</t>
  </si>
  <si>
    <t>Legende</t>
  </si>
  <si>
    <t>Eingabefelder</t>
  </si>
  <si>
    <t>Eingabefelder mit Auswahlmenü</t>
  </si>
  <si>
    <t>Ergebnisfelder</t>
  </si>
  <si>
    <t>Name</t>
  </si>
  <si>
    <t>Beschreibung</t>
  </si>
  <si>
    <t>Link</t>
  </si>
  <si>
    <t>Fahrrad</t>
  </si>
  <si>
    <t>zu Fuß</t>
  </si>
  <si>
    <t>Bus</t>
  </si>
  <si>
    <t>Moped / Motorrad</t>
  </si>
  <si>
    <t>Sonstige</t>
  </si>
  <si>
    <t>E-Bike / E-Scooter</t>
  </si>
  <si>
    <t>andere ÖPNV (S-Bahn/Bahn,…)</t>
  </si>
  <si>
    <t>Auto (Kleinwagen)</t>
  </si>
  <si>
    <t>Auto (Mittelklasse)</t>
  </si>
  <si>
    <t>Auto (Oberklasse/SUV)</t>
  </si>
  <si>
    <t>In welche Klasse gehst Du?</t>
  </si>
  <si>
    <t>Geschlecht</t>
  </si>
  <si>
    <t>weiblich</t>
  </si>
  <si>
    <t>männlich</t>
  </si>
  <si>
    <t>Winter</t>
  </si>
  <si>
    <t>Frühjahr bis Herbst</t>
  </si>
  <si>
    <t>keine Angabe / divers</t>
  </si>
  <si>
    <t>Hochskalierung auf Schule</t>
  </si>
  <si>
    <t>Emissionsfaktor</t>
  </si>
  <si>
    <t>Emissionen</t>
  </si>
  <si>
    <t>Frage 1:</t>
  </si>
  <si>
    <t>Frage 3</t>
  </si>
  <si>
    <t>Antwort: Multiple Choice/ Dropdown (folgende Werte reinkopieren)</t>
  </si>
  <si>
    <t>Frage 4</t>
  </si>
  <si>
    <t>Frage 5</t>
  </si>
  <si>
    <t>Frage 6</t>
  </si>
  <si>
    <t>Frage 7</t>
  </si>
  <si>
    <t>Frage 8</t>
  </si>
  <si>
    <t>Allgemeine Informationen zur Schule</t>
  </si>
  <si>
    <t>für Schule</t>
  </si>
  <si>
    <t>Gymnasium</t>
  </si>
  <si>
    <t>Ganztagsbetrieb</t>
  </si>
  <si>
    <t>Ernährung in der Schule</t>
  </si>
  <si>
    <t>Stadtteilschule</t>
  </si>
  <si>
    <t>Grundschule</t>
  </si>
  <si>
    <t>Hauptschule</t>
  </si>
  <si>
    <t>Realschule</t>
  </si>
  <si>
    <t>Gesamtschule</t>
  </si>
  <si>
    <t>Sonstige Schule</t>
  </si>
  <si>
    <t>Weiterbildende Schule</t>
  </si>
  <si>
    <t>Ja</t>
  </si>
  <si>
    <t>Nein</t>
  </si>
  <si>
    <t>teilweise</t>
  </si>
  <si>
    <t>Ernährung</t>
  </si>
  <si>
    <t>Kantine</t>
  </si>
  <si>
    <t>Kiosk</t>
  </si>
  <si>
    <t>Imbissbar</t>
  </si>
  <si>
    <t>Nutzung der Turnhallen durch Dritte</t>
  </si>
  <si>
    <t>Nutzung_Turnhallen_Dritte</t>
  </si>
  <si>
    <t>Täglich</t>
  </si>
  <si>
    <t>2-5x pro Woche</t>
  </si>
  <si>
    <t>wöchentlich</t>
  </si>
  <si>
    <t>selten</t>
  </si>
  <si>
    <t>Allgemeine Angaben zur Schule</t>
  </si>
  <si>
    <t>Auswahl Heizsystem</t>
  </si>
  <si>
    <t>Verwendung von Ökostrom</t>
  </si>
  <si>
    <t>Ökostrom</t>
  </si>
  <si>
    <t>keine Informationen</t>
  </si>
  <si>
    <t>Bestehende PV-Anlage</t>
  </si>
  <si>
    <t>Installationszeitpunkt</t>
  </si>
  <si>
    <t>August</t>
  </si>
  <si>
    <t>(bei fehlender Eingabe wird das aktuelle Datum genommen)</t>
  </si>
  <si>
    <t>Anlage zur auschließlichen Netzeinspeisung?</t>
  </si>
  <si>
    <t>Info: Bei Altanlagen mit Installationsdatum bis 2008 ist die vollständige Netzeinspeisung üblich.</t>
  </si>
  <si>
    <t>PV-Monat</t>
  </si>
  <si>
    <t>PV-Jahr</t>
  </si>
  <si>
    <t>Monat</t>
  </si>
  <si>
    <t>Jahr</t>
  </si>
  <si>
    <t>Januar</t>
  </si>
  <si>
    <t>Februar</t>
  </si>
  <si>
    <t>März</t>
  </si>
  <si>
    <t>April</t>
  </si>
  <si>
    <t>Mai</t>
  </si>
  <si>
    <t>Juni</t>
  </si>
  <si>
    <t>Juli</t>
  </si>
  <si>
    <t>September</t>
  </si>
  <si>
    <t>Oktober</t>
  </si>
  <si>
    <t>November</t>
  </si>
  <si>
    <t>Dezember</t>
  </si>
  <si>
    <t>Größe in m²</t>
  </si>
  <si>
    <t>Nennleistung (kWp)</t>
  </si>
  <si>
    <t>Ausrichtung</t>
  </si>
  <si>
    <t>Bitte wählen</t>
  </si>
  <si>
    <t>Neigung</t>
  </si>
  <si>
    <t>30°</t>
  </si>
  <si>
    <t>Ausrichtung Lookup</t>
  </si>
  <si>
    <t>Neigung Lookup</t>
  </si>
  <si>
    <t>90° Ost</t>
  </si>
  <si>
    <t>0°</t>
  </si>
  <si>
    <t>135° Südost</t>
  </si>
  <si>
    <t>10°</t>
  </si>
  <si>
    <t>180° Süd</t>
  </si>
  <si>
    <t>20°</t>
  </si>
  <si>
    <t>225° Südwest</t>
  </si>
  <si>
    <t>270° West</t>
  </si>
  <si>
    <t>40°</t>
  </si>
  <si>
    <t>50°</t>
  </si>
  <si>
    <t>60°</t>
  </si>
  <si>
    <t>70°</t>
  </si>
  <si>
    <t>80°</t>
  </si>
  <si>
    <t>90°</t>
  </si>
  <si>
    <t>Definition Parameter</t>
  </si>
  <si>
    <t>Wert</t>
  </si>
  <si>
    <t>ID</t>
  </si>
  <si>
    <t>Leistung in Watt pro m2</t>
  </si>
  <si>
    <t>WattPerM2</t>
  </si>
  <si>
    <t>Wie hoch ist die maximale Leistung der bestehenden PV-Anlage?</t>
  </si>
  <si>
    <t>Wenn ihr die Leistung nicht kennt, kann die Leistung auch anhand der Größe abgeschätzt werden.</t>
  </si>
  <si>
    <t>==&gt; Maximale Leistung</t>
  </si>
  <si>
    <t>Bestimmung des Solarertrages anhand der Postleitzahl</t>
  </si>
  <si>
    <t>Region nach Postleitzahl</t>
  </si>
  <si>
    <t>Dropdown Stadtauswahl</t>
  </si>
  <si>
    <t>bitte auswählen</t>
  </si>
  <si>
    <t>01… Dresden</t>
  </si>
  <si>
    <t>02… Görlitz</t>
  </si>
  <si>
    <t>03… Cottbus</t>
  </si>
  <si>
    <t>04… Leipzig</t>
  </si>
  <si>
    <t>05… nicht vergeben</t>
  </si>
  <si>
    <t>06… Halle</t>
  </si>
  <si>
    <t>07… Gera</t>
  </si>
  <si>
    <t>08… Plauen</t>
  </si>
  <si>
    <t>09… Chemnitz</t>
  </si>
  <si>
    <t>10… Berlin</t>
  </si>
  <si>
    <t>11… Berlin</t>
  </si>
  <si>
    <t>12… Berlin</t>
  </si>
  <si>
    <t>13… Berlin</t>
  </si>
  <si>
    <t>14… Potsdam</t>
  </si>
  <si>
    <t>15… Frankfurt (Oder)</t>
  </si>
  <si>
    <t>16… Oranienburg</t>
  </si>
  <si>
    <t>17… Neubrandenburg</t>
  </si>
  <si>
    <t>18… Rostock</t>
  </si>
  <si>
    <t>19… Schwerin</t>
  </si>
  <si>
    <t>20… Hamburg</t>
  </si>
  <si>
    <t>21… Hamburg</t>
  </si>
  <si>
    <t>22… Hamburg</t>
  </si>
  <si>
    <t>23… Lübeck</t>
  </si>
  <si>
    <t>24… Kiel</t>
  </si>
  <si>
    <t>25… Sylt</t>
  </si>
  <si>
    <t>26… Oldenburg</t>
  </si>
  <si>
    <t>27… Bremen</t>
  </si>
  <si>
    <t>28… Bremen</t>
  </si>
  <si>
    <t>29… Celle</t>
  </si>
  <si>
    <t>30… Hannover</t>
  </si>
  <si>
    <t>31… Hannover</t>
  </si>
  <si>
    <t>32… Herford</t>
  </si>
  <si>
    <t>33… Bielefeld</t>
  </si>
  <si>
    <t>34… Kassel</t>
  </si>
  <si>
    <t>35… Gießen</t>
  </si>
  <si>
    <t>36… Fulda</t>
  </si>
  <si>
    <t>37… Göttingen</t>
  </si>
  <si>
    <t>38… Braunschweig</t>
  </si>
  <si>
    <t>39… Magdeburg</t>
  </si>
  <si>
    <t>40… Düsseldorf</t>
  </si>
  <si>
    <t>41… Mönchengladbach</t>
  </si>
  <si>
    <t>42… Wuppertal</t>
  </si>
  <si>
    <t>43… nicht vergeben</t>
  </si>
  <si>
    <t>44… Dortmund</t>
  </si>
  <si>
    <t>45… Essen</t>
  </si>
  <si>
    <t>46… Oberhausen</t>
  </si>
  <si>
    <t>47… Duisburg</t>
  </si>
  <si>
    <t>48… Münster</t>
  </si>
  <si>
    <t>49… Osnabrück</t>
  </si>
  <si>
    <t>50… Köln</t>
  </si>
  <si>
    <t>51… Köln</t>
  </si>
  <si>
    <t>52… Aachen</t>
  </si>
  <si>
    <t>53… Bonn</t>
  </si>
  <si>
    <t>54… Trier</t>
  </si>
  <si>
    <t>55… Mainz</t>
  </si>
  <si>
    <t>56… Koblenz</t>
  </si>
  <si>
    <t>57… Siegen</t>
  </si>
  <si>
    <t>58… Hagen</t>
  </si>
  <si>
    <t>59… Hamm</t>
  </si>
  <si>
    <t>60… Frankfurt am Main</t>
  </si>
  <si>
    <t>61… Bad Homburg</t>
  </si>
  <si>
    <t>62… Frankfurt am Main</t>
  </si>
  <si>
    <t>63… Aschaffenburg</t>
  </si>
  <si>
    <t>64… Darmstadt</t>
  </si>
  <si>
    <t>65… Wiesbaden</t>
  </si>
  <si>
    <t>66… Saarbrücken</t>
  </si>
  <si>
    <t>67… Kaiserslautern</t>
  </si>
  <si>
    <t>68… Mannheim</t>
  </si>
  <si>
    <t>69… Heidelberg</t>
  </si>
  <si>
    <t>70… Stuttgart</t>
  </si>
  <si>
    <t>71… Stuttgart</t>
  </si>
  <si>
    <t>72… Tübingen</t>
  </si>
  <si>
    <t>73… Göppingen</t>
  </si>
  <si>
    <t>74… Heilbronn</t>
  </si>
  <si>
    <t>75… Pforzheim</t>
  </si>
  <si>
    <t>76… Karlsruhe</t>
  </si>
  <si>
    <t>77… Offenburg</t>
  </si>
  <si>
    <t>78… Villingen-Schwenningen</t>
  </si>
  <si>
    <t>79… Freiburg im Breisgau</t>
  </si>
  <si>
    <t>80… München</t>
  </si>
  <si>
    <t>81… München</t>
  </si>
  <si>
    <t>82… München</t>
  </si>
  <si>
    <t>83… Rosenheim</t>
  </si>
  <si>
    <t>84… Landshut</t>
  </si>
  <si>
    <t>85… München</t>
  </si>
  <si>
    <t>86… Augsburg</t>
  </si>
  <si>
    <t>87… Kempten</t>
  </si>
  <si>
    <t>88… Friedrichshafen</t>
  </si>
  <si>
    <t>89… Ulm</t>
  </si>
  <si>
    <t>90… Nürnberg</t>
  </si>
  <si>
    <t>91… Nürnberg</t>
  </si>
  <si>
    <t>92… Amberg</t>
  </si>
  <si>
    <t>93… Regensburg</t>
  </si>
  <si>
    <t>94… Passau</t>
  </si>
  <si>
    <t>95… Hof</t>
  </si>
  <si>
    <t>96… Bamberg</t>
  </si>
  <si>
    <t>97… Würzburg</t>
  </si>
  <si>
    <t>98… Suhl</t>
  </si>
  <si>
    <t>99… Erfurt</t>
  </si>
  <si>
    <t>Jahresertrag (kWh/kWp)</t>
  </si>
  <si>
    <t>Solarertrag absolut (kWh/Jahr)</t>
  </si>
  <si>
    <t>Solarproduktion</t>
  </si>
  <si>
    <t>Verbrauch</t>
  </si>
  <si>
    <t>Jan</t>
  </si>
  <si>
    <t>Feb</t>
  </si>
  <si>
    <t>Mar</t>
  </si>
  <si>
    <t>Apr</t>
  </si>
  <si>
    <t>Jun</t>
  </si>
  <si>
    <t>Jul</t>
  </si>
  <si>
    <t>Aug</t>
  </si>
  <si>
    <t>Sep</t>
  </si>
  <si>
    <t>Okt</t>
  </si>
  <si>
    <t>Nov</t>
  </si>
  <si>
    <t>Dez</t>
  </si>
  <si>
    <t>Jahresstromverbruach</t>
  </si>
  <si>
    <t>Jahresstromverbrauch</t>
  </si>
  <si>
    <t>Verteilungsfaktor Verbrauch</t>
  </si>
  <si>
    <t>PVBestandJahresertrag</t>
  </si>
  <si>
    <t>Jahresertrag der bestehenden PV-Anlage</t>
  </si>
  <si>
    <t>Zwischenbilanz Gebäudeenergie und EE:</t>
  </si>
  <si>
    <t>Komponenten für Klimaschutzkonzept:</t>
  </si>
  <si>
    <t>Version und Systemeigenschaften</t>
  </si>
  <si>
    <t>Sollten unerwartet Fehler in den Formeln auftreten, so könnte dies an einer älteren Excel-Version liegen. Bitte schicken Sie uns in diesem Fall eine kurze Beschreibung des Fehlers und die unten angezeigten Informationen über Ihr Betriebssystem und Ihre Excel-Version. Vielen Dank für Ihre Mithilfe !</t>
  </si>
  <si>
    <t>Ihr Betriebssystem:</t>
  </si>
  <si>
    <t>Der Name Ihrer Betriebsumgebung:</t>
  </si>
  <si>
    <t>Ihre Excel Version:</t>
  </si>
  <si>
    <t>Excel Berechnungseinstellung:</t>
  </si>
  <si>
    <t>Letzte Aktualisierung des Tools:</t>
  </si>
  <si>
    <t>Sebastian Albert-Seifried</t>
  </si>
  <si>
    <t>sas@oe2.de</t>
  </si>
  <si>
    <t>Büro Ö-quadrat GmbH</t>
  </si>
  <si>
    <t>Lebensmittel</t>
  </si>
  <si>
    <t>Brötchen, Weißbrot</t>
  </si>
  <si>
    <t>Feinbackwaren</t>
  </si>
  <si>
    <t>Butter</t>
  </si>
  <si>
    <t>Sahne</t>
  </si>
  <si>
    <t>Menge in g</t>
  </si>
  <si>
    <t>Lokales Produkt</t>
  </si>
  <si>
    <t>AbschlagBeiLokalemProdukt</t>
  </si>
  <si>
    <t>FaktorBeiLokalemProdukt</t>
  </si>
  <si>
    <t>Zutat 2:</t>
  </si>
  <si>
    <t>Zutat 3:</t>
  </si>
  <si>
    <t>Zutat 4:</t>
  </si>
  <si>
    <t>Zutat 5:</t>
  </si>
  <si>
    <t>Gericht 1</t>
  </si>
  <si>
    <t>Gericht 2</t>
  </si>
  <si>
    <t>Gericht 3</t>
  </si>
  <si>
    <t>Name des Gerichtes</t>
  </si>
  <si>
    <t>Verkaufte Portionen</t>
  </si>
  <si>
    <t>Zwischenbilanz Verkehr &amp; Mobilität</t>
  </si>
  <si>
    <t>Gesamtemissionen</t>
  </si>
  <si>
    <t>Gesamtemissionen pro Schüler*in</t>
  </si>
  <si>
    <t>Durchschnittliche Emissionen pro Gericht</t>
  </si>
  <si>
    <t>Beschaffung</t>
  </si>
  <si>
    <t>Einheit Papierverbrauch</t>
  </si>
  <si>
    <t>kg Papier</t>
  </si>
  <si>
    <t>Einheit wählen</t>
  </si>
  <si>
    <t>x</t>
  </si>
  <si>
    <t>Menge</t>
  </si>
  <si>
    <t>Zeitraum</t>
  </si>
  <si>
    <t>Zeitraum Papierverbrauch</t>
  </si>
  <si>
    <t>Zeitraum wählen</t>
  </si>
  <si>
    <t>pro Schultag</t>
  </si>
  <si>
    <t>pro Schulwoche</t>
  </si>
  <si>
    <t>pro Schuljahr</t>
  </si>
  <si>
    <t>÷</t>
  </si>
  <si>
    <t>Päckchen DIN A4 (500 Blatt)</t>
  </si>
  <si>
    <t>Berechnetes Gewicht</t>
  </si>
  <si>
    <t>=</t>
  </si>
  <si>
    <t>Zeitintervalle pro Schuljahr</t>
  </si>
  <si>
    <t>Eingabe Papierverbrauch</t>
  </si>
  <si>
    <t>Umrechnung in kg/Jahr</t>
  </si>
  <si>
    <t>Papier pro Schuljahr</t>
  </si>
  <si>
    <t>Recyclingpapier oder Frischfaserpapier</t>
  </si>
  <si>
    <t>Papierart wählen</t>
  </si>
  <si>
    <t>Frischfaserpapier</t>
  </si>
  <si>
    <t>Recyclingpapier</t>
  </si>
  <si>
    <t>Emissionen /kg</t>
  </si>
  <si>
    <t>https://www.papiernetz.de/informationen/nachhaltigkeitsrechner/</t>
  </si>
  <si>
    <t>Umrechnung pro Jahr</t>
  </si>
  <si>
    <t>Korrigierter Jahresverbrauch in kWh/Jahr</t>
  </si>
  <si>
    <t>Antwort: Multiple Choice (folgende Werte reinkopieren)</t>
  </si>
  <si>
    <t>2.</t>
  </si>
  <si>
    <t>Auf Google Drive gehen und ggf. einen Ordner für die Umfrage erstellen</t>
  </si>
  <si>
    <t>https://drive.google.com/drive/</t>
  </si>
  <si>
    <t>4.</t>
  </si>
  <si>
    <r>
      <t>Auf "</t>
    </r>
    <r>
      <rPr>
        <b/>
        <sz val="11"/>
        <color theme="1"/>
        <rFont val="Calibri"/>
        <family val="2"/>
        <scheme val="minor"/>
      </rPr>
      <t>Neu</t>
    </r>
    <r>
      <rPr>
        <sz val="11"/>
        <color theme="1"/>
        <rFont val="Calibri"/>
        <family val="2"/>
        <scheme val="minor"/>
      </rPr>
      <t>" klicken</t>
    </r>
  </si>
  <si>
    <r>
      <t>Auf "</t>
    </r>
    <r>
      <rPr>
        <b/>
        <sz val="11"/>
        <color theme="1"/>
        <rFont val="Calibri"/>
        <family val="2"/>
        <scheme val="minor"/>
      </rPr>
      <t>Google Formulare</t>
    </r>
    <r>
      <rPr>
        <sz val="11"/>
        <color theme="1"/>
        <rFont val="Calibri"/>
        <family val="2"/>
        <scheme val="minor"/>
      </rPr>
      <t>" gehen und "</t>
    </r>
    <r>
      <rPr>
        <b/>
        <sz val="11"/>
        <color theme="1"/>
        <rFont val="Calibri"/>
        <family val="2"/>
        <scheme val="minor"/>
      </rPr>
      <t>Leeres Formular</t>
    </r>
    <r>
      <rPr>
        <sz val="11"/>
        <color theme="1"/>
        <rFont val="Calibri"/>
        <family val="2"/>
        <scheme val="minor"/>
      </rPr>
      <t>" auswählen</t>
    </r>
  </si>
  <si>
    <r>
      <t xml:space="preserve">Titel des Formulars </t>
    </r>
    <r>
      <rPr>
        <sz val="11"/>
        <color theme="1"/>
        <rFont val="Calibri"/>
        <family val="2"/>
        <scheme val="minor"/>
      </rPr>
      <t>und</t>
    </r>
    <r>
      <rPr>
        <b/>
        <sz val="11"/>
        <color theme="1"/>
        <rFont val="Calibri"/>
        <family val="2"/>
        <scheme val="minor"/>
      </rPr>
      <t xml:space="preserve"> Formularbeschreibung</t>
    </r>
    <r>
      <rPr>
        <sz val="11"/>
        <color theme="1"/>
        <rFont val="Calibri"/>
        <family val="2"/>
        <scheme val="minor"/>
      </rPr>
      <t xml:space="preserve"> auf deine Schule ändern und reinkopieren</t>
    </r>
  </si>
  <si>
    <t>5.</t>
  </si>
  <si>
    <t>Antwort: "Kurzantwort" auswählen</t>
  </si>
  <si>
    <t>3.</t>
  </si>
  <si>
    <t>6.</t>
  </si>
  <si>
    <t>1.</t>
  </si>
  <si>
    <t>7.</t>
  </si>
  <si>
    <t>8.</t>
  </si>
  <si>
    <t>Ein Bild für die Kopfzeile auswählen. Hier eignet sich beispielsweise das Fahrrad-Bild im Bereich Sport&amp;Spiel</t>
  </si>
  <si>
    <t>Auf Senden gehen</t>
  </si>
  <si>
    <t>In den Bereich Verknüpfung wechseln</t>
  </si>
  <si>
    <t>URL verkürzen auswählen</t>
  </si>
  <si>
    <t>Einen QR-Code erstellen, z.B. auf der folgenden Seite</t>
  </si>
  <si>
    <t>9.</t>
  </si>
  <si>
    <t>In welcher Rolle sind Sie / bist du an der Schule?</t>
  </si>
  <si>
    <t>Frage 2:</t>
  </si>
  <si>
    <t>Bevorzugtes Verkehrsmittel im Frühjahr, Sommer und Herbst:</t>
  </si>
  <si>
    <t>Bevorzugtes Verkehrsmittel im Winter:</t>
  </si>
  <si>
    <t>Dauer des täglichen Schulweges? (Angabe in Minuten)</t>
  </si>
  <si>
    <t>Frage 9</t>
  </si>
  <si>
    <t>In welchem Ort oder Stadtteil wohnen Sie / wohnst Du?</t>
  </si>
  <si>
    <t>Zeitstempel</t>
  </si>
  <si>
    <t>==&gt;</t>
  </si>
  <si>
    <t>Zutat 6:</t>
  </si>
  <si>
    <t>Quelle</t>
  </si>
  <si>
    <t>Gericht 4</t>
  </si>
  <si>
    <t>Reis</t>
  </si>
  <si>
    <t>Papierhandtücher</t>
  </si>
  <si>
    <t>5000 Papierhandtücher wiegen ca. 10,5 kg</t>
  </si>
  <si>
    <t>Einheit Papierverbrauch Papierhandtücher</t>
  </si>
  <si>
    <t>Arbeitspapier (A4)</t>
  </si>
  <si>
    <t>Klopapier</t>
  </si>
  <si>
    <t>Einheit Papierverbrauch Klopapier</t>
  </si>
  <si>
    <t>Rollen mit 250 Blatt</t>
  </si>
  <si>
    <t>Paket mit 30 Rollen a 250 Blatt</t>
  </si>
  <si>
    <t>8 Rollen a 250 Blatt wiegen ca. 1,2 kg</t>
  </si>
  <si>
    <t>Kopierpapier (A4)</t>
  </si>
  <si>
    <t>Zusammenfassung Papierverbrauch pro Schuljahr</t>
  </si>
  <si>
    <t>Berechnung</t>
  </si>
  <si>
    <t>Klassenfahrten</t>
  </si>
  <si>
    <t>ÖV</t>
  </si>
  <si>
    <t>Reisebus</t>
  </si>
  <si>
    <t>Auto</t>
  </si>
  <si>
    <t>Zu Fuß</t>
  </si>
  <si>
    <t>Klassenfahren</t>
  </si>
  <si>
    <t>km (einfache Strecke)</t>
  </si>
  <si>
    <t>Verkehrsmittel</t>
  </si>
  <si>
    <t>Beschreibung / Ziel der Klassenfahrt</t>
  </si>
  <si>
    <t>Emissionen in kg CO2</t>
  </si>
  <si>
    <t>Schulkantine</t>
  </si>
  <si>
    <t>Anzahl Fahrzeuge / Sitzplätze</t>
  </si>
  <si>
    <t>Emissionsfaktor
(g CO2/km)</t>
  </si>
  <si>
    <t>Wärmebedarf</t>
  </si>
  <si>
    <t>Eisenbahn Fernverkehr</t>
  </si>
  <si>
    <t>ÖPNV</t>
  </si>
  <si>
    <r>
      <t xml:space="preserve">S </t>
    </r>
    <r>
      <rPr>
        <b/>
        <sz val="11"/>
        <color theme="1"/>
        <rFont val="Calibri"/>
        <family val="2"/>
        <scheme val="minor"/>
      </rPr>
      <t>in kg CO</t>
    </r>
    <r>
      <rPr>
        <b/>
        <vertAlign val="subscript"/>
        <sz val="11"/>
        <color theme="1"/>
        <rFont val="Calibri"/>
        <family val="2"/>
        <scheme val="minor"/>
      </rPr>
      <t>2</t>
    </r>
    <r>
      <rPr>
        <b/>
        <sz val="11"/>
        <color theme="1"/>
        <rFont val="Calibri"/>
        <family val="2"/>
        <scheme val="minor"/>
      </rPr>
      <t>:</t>
    </r>
  </si>
  <si>
    <t>Anzahl
Nennungen</t>
  </si>
  <si>
    <t>Abgrenzung und Aufteilung der Verbrauchswerte</t>
  </si>
  <si>
    <t>nur für diese Schule</t>
  </si>
  <si>
    <t>auch für andere Verbraucher</t>
  </si>
  <si>
    <t>Schule oder Schulzentrum</t>
  </si>
  <si>
    <t>Aufteilung</t>
  </si>
  <si>
    <t>anhand der beheizten Nutzfläche</t>
  </si>
  <si>
    <t>anhand der Schülerzahl</t>
  </si>
  <si>
    <t>Bei Verteilung anhand von Nutzfläche</t>
  </si>
  <si>
    <r>
      <t>m</t>
    </r>
    <r>
      <rPr>
        <vertAlign val="superscript"/>
        <sz val="11"/>
        <color theme="1"/>
        <rFont val="Calibri"/>
        <family val="2"/>
        <scheme val="minor"/>
      </rPr>
      <t>2</t>
    </r>
  </si>
  <si>
    <t>davon Turnhallen</t>
  </si>
  <si>
    <t>Anteil von Schule</t>
  </si>
  <si>
    <t>Aufteilung Einzelbereiche</t>
  </si>
  <si>
    <t>für Schulzentrum</t>
  </si>
  <si>
    <t>individuell</t>
  </si>
  <si>
    <r>
      <t>CO</t>
    </r>
    <r>
      <rPr>
        <vertAlign val="subscript"/>
        <sz val="11"/>
        <color theme="1"/>
        <rFont val="Calibri"/>
        <family val="2"/>
        <scheme val="minor"/>
      </rPr>
      <t>2</t>
    </r>
    <r>
      <rPr>
        <sz val="11"/>
        <color theme="1"/>
        <rFont val="Calibri"/>
        <family val="2"/>
        <scheme val="minor"/>
      </rPr>
      <t>-Emissionen pro Jahr</t>
    </r>
  </si>
  <si>
    <t>m³</t>
  </si>
  <si>
    <t>Einfache Weglänge in km</t>
  </si>
  <si>
    <t>Sonstiges Papier</t>
  </si>
  <si>
    <t>Gericht 5</t>
  </si>
  <si>
    <t>In welcher Rolle sind Sie / bist Du an der Schule?</t>
  </si>
  <si>
    <t>Wie weit ist es von Ihrer / Deiner Haustür bis zum Schulgelände? (Angabe in km)</t>
  </si>
  <si>
    <t>Wie alt bist Du?</t>
  </si>
  <si>
    <t xml:space="preserve">Ihr könnt entweder über den untenstehenden Link oder über den QR-Code mithilfe Eures Smartphones auf den Fragebogen zugreifen. </t>
  </si>
  <si>
    <t>Winter (55 Schultage im Jahr)</t>
  </si>
  <si>
    <t>Zusammenfassung:</t>
  </si>
  <si>
    <t>Anzahl Schultage</t>
  </si>
  <si>
    <t>Anzahl Tage Frühjahr bis Sommer</t>
  </si>
  <si>
    <t>Anzahl Wintertage</t>
  </si>
  <si>
    <t>Gesamtstrecke in km</t>
  </si>
  <si>
    <t>für Teilnehmer</t>
  </si>
  <si>
    <t>für gesamte Schule</t>
  </si>
  <si>
    <t>Gesamtstrecke Schulweg:</t>
  </si>
  <si>
    <t>Schulbus und ÖPNV</t>
  </si>
  <si>
    <t>Jahresmittel</t>
  </si>
  <si>
    <t xml:space="preserve">Teilnahmequote </t>
  </si>
  <si>
    <r>
      <t>in gCO</t>
    </r>
    <r>
      <rPr>
        <vertAlign val="subscript"/>
        <sz val="11"/>
        <color theme="1"/>
        <rFont val="Calibri"/>
        <family val="2"/>
        <scheme val="minor"/>
      </rPr>
      <t>2</t>
    </r>
    <r>
      <rPr>
        <sz val="11"/>
        <color theme="1"/>
        <rFont val="Calibri"/>
        <family val="2"/>
        <scheme val="minor"/>
      </rPr>
      <t>/km</t>
    </r>
  </si>
  <si>
    <r>
      <t>in kg CO</t>
    </r>
    <r>
      <rPr>
        <vertAlign val="subscript"/>
        <sz val="11"/>
        <color theme="1"/>
        <rFont val="Calibri"/>
        <family val="2"/>
        <scheme val="minor"/>
      </rPr>
      <t>2</t>
    </r>
  </si>
  <si>
    <t>Verteilung in Prozent</t>
  </si>
  <si>
    <t>Verteilung nach Anzahl Nennungen</t>
  </si>
  <si>
    <t>Bus und ÖPNV</t>
  </si>
  <si>
    <r>
      <t>Emissionen in kg CO</t>
    </r>
    <r>
      <rPr>
        <b/>
        <vertAlign val="subscript"/>
        <sz val="11"/>
        <color theme="0"/>
        <rFont val="Calibri"/>
        <family val="2"/>
        <scheme val="minor"/>
      </rPr>
      <t>2</t>
    </r>
  </si>
  <si>
    <t>Summe</t>
  </si>
  <si>
    <t>Gesamtstrecke in %</t>
  </si>
  <si>
    <t>Emissionen in %</t>
  </si>
  <si>
    <t>Frühjahr bis Herbst (125 Schultage)</t>
  </si>
  <si>
    <t>Verkehrsmittelwahl und Weglänge</t>
  </si>
  <si>
    <t>Jahresmittel (gewichtet)</t>
  </si>
  <si>
    <t>Durchschnittliche Weglänge:</t>
  </si>
  <si>
    <t>Emissionsfaktoren</t>
  </si>
  <si>
    <t>Bezeichnung</t>
  </si>
  <si>
    <t>pro km</t>
  </si>
  <si>
    <t>Reisebus (pro Person bei 50% Auslastung)</t>
  </si>
  <si>
    <t>Öko-Institut: Endenergiebezogene Gesamtemissionen für Treibhausgase aus fossilen Energieträgern unter Einbeziehung der Bereitstellungsvorketten</t>
  </si>
  <si>
    <t>eigene Berechnung</t>
  </si>
  <si>
    <t>Liter Diesel mit Vorkette</t>
  </si>
  <si>
    <t>Liter Benzin mit Vorkette</t>
  </si>
  <si>
    <t>Wuppertal Inst.</t>
  </si>
  <si>
    <t>Die Emissionen für Zutaten sind im Tabellenblatt Kantine hinterlegt.</t>
  </si>
  <si>
    <r>
      <t>CO</t>
    </r>
    <r>
      <rPr>
        <b/>
        <vertAlign val="subscript"/>
        <sz val="13"/>
        <color theme="3"/>
        <rFont val="Calibri"/>
        <family val="2"/>
        <scheme val="minor"/>
      </rPr>
      <t>2</t>
    </r>
    <r>
      <rPr>
        <b/>
        <sz val="13"/>
        <color theme="3"/>
        <rFont val="Calibri"/>
        <family val="2"/>
        <scheme val="minor"/>
      </rPr>
      <t>-Emissionen für das Heizungssystem</t>
    </r>
  </si>
  <si>
    <r>
      <t>CO</t>
    </r>
    <r>
      <rPr>
        <b/>
        <vertAlign val="subscript"/>
        <sz val="13"/>
        <color theme="3"/>
        <rFont val="Calibri"/>
        <family val="2"/>
        <scheme val="minor"/>
      </rPr>
      <t>2</t>
    </r>
    <r>
      <rPr>
        <b/>
        <sz val="13"/>
        <color theme="3"/>
        <rFont val="Calibri"/>
        <family val="2"/>
        <scheme val="minor"/>
      </rPr>
      <t>-Emissionen für den Stromverbrauch</t>
    </r>
  </si>
  <si>
    <r>
      <t>Emissionsfaktor Strom in gCO</t>
    </r>
    <r>
      <rPr>
        <vertAlign val="subscript"/>
        <sz val="11"/>
        <color theme="1"/>
        <rFont val="Calibri"/>
        <family val="2"/>
        <scheme val="minor"/>
      </rPr>
      <t>2</t>
    </r>
    <r>
      <rPr>
        <sz val="11"/>
        <color theme="1"/>
        <rFont val="Calibri"/>
        <family val="2"/>
        <scheme val="minor"/>
      </rPr>
      <t>/kWh</t>
    </r>
  </si>
  <si>
    <t>Emissionen gesamt</t>
  </si>
  <si>
    <t>Größe in m2</t>
  </si>
  <si>
    <t>Nennkapazität (kWp)</t>
  </si>
  <si>
    <t>Orientation</t>
  </si>
  <si>
    <t>Tilt</t>
  </si>
  <si>
    <t>Kapazität</t>
  </si>
  <si>
    <t>PV Gesamt</t>
  </si>
  <si>
    <t>East</t>
  </si>
  <si>
    <t>Southeast</t>
  </si>
  <si>
    <t>South</t>
  </si>
  <si>
    <t>Southwest</t>
  </si>
  <si>
    <t>West</t>
  </si>
  <si>
    <t xml:space="preserve">Spezifischer jährlicher Solarertrag bei optimaler Ausrichtung (kWh/kWp) </t>
  </si>
  <si>
    <t>Zur Berechnung verwendete PV-Anlagengröße</t>
  </si>
  <si>
    <r>
      <t>Emissionsfaktor Strom in kg CO</t>
    </r>
    <r>
      <rPr>
        <vertAlign val="subscript"/>
        <sz val="11"/>
        <color theme="1"/>
        <rFont val="Calibri"/>
        <family val="2"/>
        <scheme val="minor"/>
      </rPr>
      <t>2</t>
    </r>
    <r>
      <rPr>
        <sz val="11"/>
        <color theme="1"/>
        <rFont val="Calibri"/>
        <family val="2"/>
        <scheme val="minor"/>
      </rPr>
      <t>/kWh</t>
    </r>
  </si>
  <si>
    <r>
      <t>CO</t>
    </r>
    <r>
      <rPr>
        <b/>
        <vertAlign val="subscript"/>
        <sz val="11"/>
        <color theme="1"/>
        <rFont val="Calibri"/>
        <family val="2"/>
        <scheme val="minor"/>
      </rPr>
      <t>2</t>
    </r>
    <r>
      <rPr>
        <b/>
        <sz val="11"/>
        <color theme="1"/>
        <rFont val="Calibri"/>
        <family val="2"/>
        <scheme val="minor"/>
      </rPr>
      <t>-Einsparungen durch PV-Anlagen</t>
    </r>
  </si>
  <si>
    <t>Optionale Eingabefelder</t>
  </si>
  <si>
    <t>Jahresproduktion</t>
  </si>
  <si>
    <t>Ertrag in kWh/kWp</t>
  </si>
  <si>
    <t>Tabelle für die grafische Auswertung</t>
  </si>
  <si>
    <t>Flugreise Inland</t>
  </si>
  <si>
    <t>Flugreise Ausland</t>
  </si>
  <si>
    <t>Auswahl Verkehrsmitte</t>
  </si>
  <si>
    <t>max. Anzahl Personen</t>
  </si>
  <si>
    <t>Reisebus komplett</t>
  </si>
  <si>
    <t>NährwertMittagessenMin</t>
  </si>
  <si>
    <t>NährwertMittagessenMax</t>
  </si>
  <si>
    <r>
      <t>kg CO</t>
    </r>
    <r>
      <rPr>
        <vertAlign val="subscript"/>
        <sz val="11"/>
        <color theme="1"/>
        <rFont val="Calibri"/>
        <family val="2"/>
        <scheme val="minor"/>
      </rPr>
      <t>2</t>
    </r>
    <r>
      <rPr>
        <sz val="11"/>
        <color theme="1"/>
        <rFont val="Calibri"/>
        <family val="2"/>
        <scheme val="minor"/>
      </rPr>
      <t>/Schuljahr</t>
    </r>
  </si>
  <si>
    <r>
      <t>Blatt DIN A4 (80g/m</t>
    </r>
    <r>
      <rPr>
        <vertAlign val="superscript"/>
        <sz val="11"/>
        <color theme="1"/>
        <rFont val="Calibri"/>
        <family val="2"/>
        <scheme val="minor"/>
      </rPr>
      <t>2</t>
    </r>
    <r>
      <rPr>
        <sz val="11"/>
        <color theme="1"/>
        <rFont val="Calibri"/>
        <family val="2"/>
        <scheme val="minor"/>
      </rPr>
      <t>)</t>
    </r>
  </si>
  <si>
    <r>
      <t>Stück Papierhandtücher (40g/m</t>
    </r>
    <r>
      <rPr>
        <vertAlign val="superscript"/>
        <sz val="11"/>
        <color theme="1"/>
        <rFont val="Calibri"/>
        <family val="2"/>
        <scheme val="minor"/>
      </rPr>
      <t>2</t>
    </r>
    <r>
      <rPr>
        <sz val="11"/>
        <color theme="1"/>
        <rFont val="Calibri"/>
        <family val="2"/>
        <scheme val="minor"/>
      </rPr>
      <t>)</t>
    </r>
  </si>
  <si>
    <r>
      <t>Jährliche CO</t>
    </r>
    <r>
      <rPr>
        <b/>
        <vertAlign val="subscript"/>
        <sz val="11"/>
        <color theme="1"/>
        <rFont val="Calibri"/>
        <family val="2"/>
        <scheme val="minor"/>
      </rPr>
      <t>2</t>
    </r>
    <r>
      <rPr>
        <b/>
        <sz val="11"/>
        <color theme="1"/>
        <rFont val="Calibri"/>
        <family val="2"/>
        <scheme val="minor"/>
      </rPr>
      <t xml:space="preserve">-Emissionen </t>
    </r>
  </si>
  <si>
    <t>pro kg</t>
  </si>
  <si>
    <t>Papiernetz.de</t>
  </si>
  <si>
    <r>
      <t>Wert in kg CO</t>
    </r>
    <r>
      <rPr>
        <b/>
        <vertAlign val="subscript"/>
        <sz val="11"/>
        <color theme="1"/>
        <rFont val="Calibri"/>
        <family val="2"/>
        <scheme val="minor"/>
      </rPr>
      <t>2</t>
    </r>
  </si>
  <si>
    <r>
      <t>Finaler Wert (in g CO</t>
    </r>
    <r>
      <rPr>
        <b/>
        <vertAlign val="subscript"/>
        <sz val="11"/>
        <color theme="1"/>
        <rFont val="Calibri"/>
        <family val="2"/>
        <scheme val="minor"/>
      </rPr>
      <t>2</t>
    </r>
    <r>
      <rPr>
        <b/>
        <sz val="11"/>
        <color theme="1"/>
        <rFont val="Calibri"/>
        <family val="2"/>
        <scheme val="minor"/>
      </rPr>
      <t>/km)</t>
    </r>
  </si>
  <si>
    <r>
      <t>Finaler Wert (in kg CO</t>
    </r>
    <r>
      <rPr>
        <b/>
        <vertAlign val="subscript"/>
        <sz val="11"/>
        <color theme="1"/>
        <rFont val="Calibri"/>
        <family val="2"/>
        <scheme val="minor"/>
      </rPr>
      <t>2</t>
    </r>
    <r>
      <rPr>
        <b/>
        <sz val="11"/>
        <color theme="1"/>
        <rFont val="Calibri"/>
        <family val="2"/>
        <scheme val="minor"/>
      </rPr>
      <t>)</t>
    </r>
  </si>
  <si>
    <t>Hochrechnung der CO₂-Emissionen für ein Jahr:</t>
  </si>
  <si>
    <t>Ergebnis der CO₂-Bilanz</t>
  </si>
  <si>
    <t>Kontakt für technische Fragen</t>
  </si>
  <si>
    <r>
      <t>Emissionen 
pro Portion
in g CO</t>
    </r>
    <r>
      <rPr>
        <vertAlign val="subscript"/>
        <sz val="11"/>
        <color theme="1"/>
        <rFont val="Calibri"/>
        <family val="2"/>
        <scheme val="minor"/>
      </rPr>
      <t>2äq</t>
    </r>
  </si>
  <si>
    <r>
      <t>Gesamte
Emissionen 
in kg CO</t>
    </r>
    <r>
      <rPr>
        <vertAlign val="subscript"/>
        <sz val="11"/>
        <color theme="1"/>
        <rFont val="Calibri"/>
        <family val="2"/>
        <scheme val="minor"/>
      </rPr>
      <t>2äq</t>
    </r>
  </si>
  <si>
    <r>
      <t>Emissionen pro g
in g CO</t>
    </r>
    <r>
      <rPr>
        <b/>
        <vertAlign val="subscript"/>
        <sz val="11"/>
        <color theme="1"/>
        <rFont val="Calibri"/>
        <family val="2"/>
        <scheme val="minor"/>
      </rPr>
      <t>2äq</t>
    </r>
  </si>
  <si>
    <r>
      <t>Emissionen 
pro Portion
in g CO</t>
    </r>
    <r>
      <rPr>
        <b/>
        <vertAlign val="subscript"/>
        <sz val="11"/>
        <color theme="1"/>
        <rFont val="Calibri"/>
        <family val="2"/>
        <scheme val="minor"/>
      </rPr>
      <t>2äq</t>
    </r>
  </si>
  <si>
    <t>Anteil in %</t>
  </si>
  <si>
    <t>srm</t>
  </si>
  <si>
    <t>mit 300 kg/srm</t>
  </si>
  <si>
    <r>
      <t>CO</t>
    </r>
    <r>
      <rPr>
        <b/>
        <vertAlign val="subscript"/>
        <sz val="13"/>
        <color theme="3"/>
        <rFont val="Calibri"/>
        <family val="2"/>
        <scheme val="minor"/>
      </rPr>
      <t>₂</t>
    </r>
    <r>
      <rPr>
        <b/>
        <sz val="13"/>
        <color theme="3"/>
        <rFont val="Calibri"/>
        <family val="2"/>
        <scheme val="minor"/>
      </rPr>
      <t>-Emissionen der Klassenfahrten</t>
    </r>
  </si>
  <si>
    <t>Zusammenfassung für Kreisdiagramm</t>
  </si>
  <si>
    <t>Zusammenfassung für Balkendiagramm</t>
  </si>
  <si>
    <t>Titel für Kreisdiagramm:</t>
  </si>
  <si>
    <t>Daten</t>
  </si>
  <si>
    <t>Verwendeter Titel</t>
  </si>
  <si>
    <t>Verteilung CO₂-Emissionen für Schule</t>
  </si>
  <si>
    <t>Voreingestellter Titel:</t>
  </si>
  <si>
    <t>Erzeugte Strommenge (36% el. WG)</t>
  </si>
  <si>
    <t>Kraft-Wärme-Kopplung / BHKW</t>
  </si>
  <si>
    <t>Stromerzeugung durch BHKW</t>
  </si>
  <si>
    <t>Vermiedene CO2-Emissionen aus fossiler Erzeugung</t>
  </si>
  <si>
    <t>Erdgaskessel</t>
  </si>
  <si>
    <t>Schüleraustausch</t>
  </si>
  <si>
    <r>
      <t>CO</t>
    </r>
    <r>
      <rPr>
        <b/>
        <vertAlign val="subscript"/>
        <sz val="13"/>
        <color theme="3"/>
        <rFont val="Calibri"/>
        <family val="2"/>
        <scheme val="minor"/>
      </rPr>
      <t>₂</t>
    </r>
    <r>
      <rPr>
        <b/>
        <sz val="13"/>
        <color theme="3"/>
        <rFont val="Calibri"/>
        <family val="2"/>
        <scheme val="minor"/>
      </rPr>
      <t>-Emissionen vom Schüleraustausch</t>
    </r>
  </si>
  <si>
    <t>Emissionen Schüleraustausch</t>
  </si>
  <si>
    <t>Kommentar</t>
  </si>
  <si>
    <t>Schüleraustausche</t>
  </si>
  <si>
    <t>Verteilung der Emissionen</t>
  </si>
  <si>
    <t>Zusätzliche Anmerkungen zur Verkehrsmittelwahl:</t>
  </si>
  <si>
    <t>Antwort: "Absatz" auswählen</t>
  </si>
  <si>
    <t>Frage 10</t>
  </si>
  <si>
    <r>
      <t xml:space="preserve">Im Tabellenblatt Allgemeines werden allgemeine Informationen zur Schule eingegeben.
</t>
    </r>
    <r>
      <rPr>
        <b/>
        <sz val="11"/>
        <color theme="1"/>
        <rFont val="Calibri"/>
        <family val="2"/>
        <scheme val="minor"/>
      </rPr>
      <t>Abgrenzung und Aufteilung der Verbrauchswerte</t>
    </r>
    <r>
      <rPr>
        <sz val="11"/>
        <color theme="1"/>
        <rFont val="Calibri"/>
        <family val="2"/>
        <scheme val="minor"/>
      </rPr>
      <t xml:space="preserve">
Manche Schulen sind baulich eigenständig. Andere Schulen sind Teil eines Gebäudekomplexes oder Schulzentrums. Ist dies der Fall, so müssen Verbrauchswerte die sich auf den Gebäudekomplex beziehen auf die Verursacher verteilt werden. Dies kann in diesem Tabellenblatt eingestellt werden.
</t>
    </r>
    <r>
      <rPr>
        <b/>
        <sz val="11"/>
        <color theme="1"/>
        <rFont val="Calibri"/>
        <family val="2"/>
        <scheme val="minor"/>
      </rPr>
      <t>Emissionsfaktoren:</t>
    </r>
    <r>
      <rPr>
        <sz val="11"/>
        <color theme="1"/>
        <rFont val="Calibri"/>
        <family val="2"/>
        <scheme val="minor"/>
      </rPr>
      <t xml:space="preserve">
Hier sind die Emissionsfaktoren für verschiedene Energieträger und Verkehrsmittel hinterlegt.  </t>
    </r>
  </si>
  <si>
    <t>Infobox Ökostrom</t>
  </si>
  <si>
    <t>Copyright</t>
  </si>
  <si>
    <t>&lt;== zur Übersicht</t>
  </si>
  <si>
    <t>zum Ergebnis ==&gt;</t>
  </si>
  <si>
    <r>
      <t>Zusammenfassung der CO</t>
    </r>
    <r>
      <rPr>
        <b/>
        <vertAlign val="subscript"/>
        <sz val="11"/>
        <color theme="1"/>
        <rFont val="Calibri"/>
        <family val="2"/>
        <scheme val="minor"/>
      </rPr>
      <t>2</t>
    </r>
    <r>
      <rPr>
        <b/>
        <sz val="11"/>
        <color theme="1"/>
        <rFont val="Calibri"/>
        <family val="2"/>
        <scheme val="minor"/>
      </rPr>
      <t>-Emissionen</t>
    </r>
  </si>
  <si>
    <t>Eingabe Stromverbrauch</t>
  </si>
  <si>
    <t>Tage</t>
  </si>
  <si>
    <t>Eingabefelder wenn Verbrauchszeitraum vom Berechnungszeitraum abweicht.</t>
  </si>
  <si>
    <t>Eingabe Verbrauch</t>
  </si>
  <si>
    <t>Vordefinierter Verteilungsfaktor Verbrauch</t>
  </si>
  <si>
    <t>Eingabe Verbrauch (Ja/Nein)</t>
  </si>
  <si>
    <t>Eingabe Verbrauch (in kWh)</t>
  </si>
  <si>
    <t>Monatsanteil</t>
  </si>
  <si>
    <t xml:space="preserve">Die nachfolgende Tabelle wird für die grafische Auswertung der monatlichen Stromerzeugung und des monatlichen Stromverbrauchs benötigt. Beim Stromverbrauch wurde eine typische Lastkurve angenommen. Im Winter ist der Stromverbrauch aufgrund der zusätzlichen Beleuchtung in der Regel höher als im Sommer.
Wenn Euch monatliche Verbrauchswerte der Schule vorliegen, dann können diese in Spalte G eingetragen werden. </t>
  </si>
  <si>
    <t>Normierungsfaktor</t>
  </si>
  <si>
    <t xml:space="preserve">Anteil nicht verteilt: </t>
  </si>
  <si>
    <t>In die untenstehende Tabelle könnt Ihr die Umfrageergebnisse hineinkopieren.
Achtet darauf, dass bei den Angaben zur Stecken und zur Dauer des Schulweges nur Zahlen stehen. "5 km" sollte also umgewandelt werden in "5"
Ob eine Antwort ein Text ist oder bereits als Zahl erkannt wurde, erkennt ihr daran auf welcher Seite der Eintrag steht. 
In der Standardeinstellung stehen Text auf der Linken Seite einer Zelle und Zahlen auf der rechten Seite.</t>
  </si>
  <si>
    <t>==&gt; zur Berechnung</t>
  </si>
  <si>
    <t>&lt;== zur Übersicht Verkehr</t>
  </si>
  <si>
    <t xml:space="preserve">&lt;== zur Übersicht Verkehr   </t>
  </si>
  <si>
    <t>In der untenstehenden Tabelle sind die CO₂-Äquivalente für verschiedene Lebensmittel hinterlegt. Am Ende der Tabelle sind fünf zusätzliche freie Felder in denen nach Bedarf weitere Zutaten hinzugefügt werden können.</t>
  </si>
  <si>
    <r>
      <rPr>
        <b/>
        <sz val="11"/>
        <color theme="1"/>
        <rFont val="Calibri"/>
        <family val="2"/>
        <scheme val="minor"/>
      </rPr>
      <t>1. Analyse des Kantinenessens für einen Tag</t>
    </r>
    <r>
      <rPr>
        <sz val="11"/>
        <color theme="1"/>
        <rFont val="Calibri"/>
        <family val="2"/>
        <scheme val="minor"/>
      </rPr>
      <t xml:space="preserve">
Überlegt euch zunächst für welchen Tag Ihr die Treibhausgasemissionen berechnen wollt und gebt anschließend die Namen der Gerichte ein die ihr berechnen wollt, sowie die Anzahl der verkauften Mahlzeiten. Nehmt am Besten einen typischen Tag oder Gerichte die viel gegessen werden. Wenn es einmal pro Woche einen vegetarischen Tag gibt, dann ist das zwar ein guter Anfang, aber leider kein typischer Tag.</t>
    </r>
  </si>
  <si>
    <r>
      <rPr>
        <b/>
        <sz val="11"/>
        <color theme="1"/>
        <rFont val="Calibri"/>
        <family val="2"/>
        <scheme val="minor"/>
      </rPr>
      <t>3. Berechnung der durchschnittlichen Emissionen pro Gericht</t>
    </r>
    <r>
      <rPr>
        <sz val="11"/>
        <color theme="1"/>
        <rFont val="Calibri"/>
        <family val="2"/>
        <scheme val="minor"/>
      </rPr>
      <t xml:space="preserve">
Am Ende der oberen Tabelle findet Ihr die durchschnittlichen Emissionen pro Gericht. Wenn wir diese mit der Anzahl der Öffnungstage der Kantine und der Anzahl der pro Tag durchschnittlich verkauften Gerichte multiplizieren, erhalten wir die Treibhausgasemissionen hochgerechnet für ein ganzes Jahr. </t>
    </r>
  </si>
  <si>
    <t>Nicht verteilt</t>
  </si>
  <si>
    <t>Weitere Grafiken für die Verteilung der CO₂-Emissionen</t>
  </si>
  <si>
    <t>Die folgenden Tabellen werden für die obenstehenden Grafiken benötigt. Über die gelben Eingabefelder lassen sich die Titel in den Grafiken ändern.</t>
  </si>
  <si>
    <t>Hinweis zum Berechnungs-Tool</t>
  </si>
  <si>
    <t>E-Auto (rein elektrisch)</t>
  </si>
  <si>
    <r>
      <t>Wert in g CO</t>
    </r>
    <r>
      <rPr>
        <b/>
        <vertAlign val="subscript"/>
        <sz val="11"/>
        <color theme="1"/>
        <rFont val="Calibri"/>
        <family val="2"/>
        <scheme val="minor"/>
      </rPr>
      <t>₂</t>
    </r>
    <r>
      <rPr>
        <b/>
        <sz val="11"/>
        <color theme="1"/>
        <rFont val="Calibri"/>
        <family val="2"/>
        <scheme val="minor"/>
      </rPr>
      <t>/km</t>
    </r>
  </si>
  <si>
    <t>Waldorfschule</t>
  </si>
  <si>
    <t>Viele Unternehmen, Kommunen und auch private Haushalte oder Schulen machen den Fehlern, dass sie den von ihnen bezogenen „Öko-Strom“ oder „Grün-Strom“ in ihrer CO₂-Bilanz mit „0“ ansetzen. Sie tun also so, als ob ihr Strombezug emissionsfrei wäre. Das scheint zunächst plausibel, zumal es für den sogenannten Ökostrom sogar Zertifikate oder Herkunftsnachweise von unabhängigen Institutionen gibt. 
Diese Betrachtung hat jedoch nichts mit der Wirklichkeit zu tun. Dieser gehandelte Ökostrom ist schlicht ein Geschäftsmodell der Stromversorgungsunternehmen. Es beruht darauf, dass die Unternehmen in Norwegen, Schweden oder Österreich günstigen Wasserkraftstrom einkaufen. Dieser Strom kommt aus bestehenden Wasserkraftwerken. Im selben Umfang wie die deutschen Stromversorger diesen Ökostrom kaufen, kaufen die Norweger entsprechende Mengen Kohlestrom in Deutschland, zumal sie ja keinen zusätzlichen Strom mit den bestehenden Wasserkraftwerken produzieren können. Der Strom fließt nicht von Norwegen nach Deutschland und auch nicht in die umgekehrte Richtung. Bei diesen Ökostrom-Lieferungen handelt es sich lediglich um ein Tauschgeschäft auf Papier, an dem sowohl die ausländischen Wasserkraftwerksbetreiber als auch die deutschen Stromlieferanten etwas verdienen. 
In unserer CO₂-Bilanz wird Strom aus Erneuerbaren Energiequellen in der CO₂-Bilanz dann mit „0“ angesetzt, wenn der Strom von der Solaranlage auf dem Dach der Schule kommt oder die Schule (bzw. ein Förderverein oder die Elternschaft) in ein regeneratives Projekt investiert und damit eine zusätzliche Stromerzeugung aus regenerativen Energiequellen bewirkt wird.
Davon abzugrenzen ist der Strom aus erneuerbaren Energiequellen, der über die im Erneuerbaren Energien Gesetz festgelegte Einspeisevergütung vergütet wird. Dieser Strom aus Erneuerbaren Energiequellen darf jedoch nicht gehandelt werden. Die Kosten der Einspeisevergütung werden über alle Stromverbraucher durch die EEG-Abgabe getragen.</t>
  </si>
  <si>
    <t>Version des CO₂-Rechners:</t>
  </si>
  <si>
    <t>₂</t>
  </si>
  <si>
    <t>Zusammenfassung der CO₂-Emissionen</t>
  </si>
  <si>
    <r>
      <rPr>
        <b/>
        <sz val="11"/>
        <color theme="1"/>
        <rFont val="Calibri"/>
        <family val="2"/>
        <scheme val="minor"/>
      </rPr>
      <t>Lokale Produkte</t>
    </r>
    <r>
      <rPr>
        <sz val="11"/>
        <color theme="1"/>
        <rFont val="Calibri"/>
        <family val="2"/>
        <scheme val="minor"/>
      </rPr>
      <t xml:space="preserve">
Lokale Erzeugnisse verursachen im Durchschnitt niedrigere Emissionen als Lebensmittel die über weite Strecken transportiert werden müssen. Wie hoch diese Ersparnisse im Einzelfall sind, lässt sich nicht pauschal ermitteln. Daher werden in unserem CO₂-Rechner für lokale Produkte Emissionswerte angenommen die um 10% niedriger sind als für nicht-regionale Produkte.</t>
    </r>
  </si>
  <si>
    <r>
      <rPr>
        <b/>
        <sz val="11"/>
        <color theme="1"/>
        <rFont val="Calibri"/>
        <family val="2"/>
        <scheme val="minor"/>
      </rPr>
      <t>Treibhausgasemissionen</t>
    </r>
    <r>
      <rPr>
        <sz val="11"/>
        <color theme="1"/>
        <rFont val="Calibri"/>
        <family val="2"/>
        <scheme val="minor"/>
      </rPr>
      <t xml:space="preserve">
Bei der Berechnung der Treibhausgasemissionen für den Bereich Ernährung reden wir bewusst nicht nur von CO₂-Emissionen, da durch den Einsatz von Dünger und bei der Viehzucht noch andere Treibhausgase entstehen (Methan und Lachgas). In den Berechnungen wurden diese Treibhausgase bereits mit einberechnet. </t>
    </r>
  </si>
  <si>
    <t>Umrechnung von Einheiten</t>
  </si>
  <si>
    <t xml:space="preserve">Für manche Energieträger sind verschiedene Mengeneinheiten gebräuchlich. So wird beispielsweise der Gasverbrauch entweder in Kubikmeter, oder in Kilowattstunden angegeben. Bei Holzhackschnitzeln sind Schüttmeter (srm) oder Kilowattstunden üblich. </t>
  </si>
  <si>
    <t>Schüttmeter</t>
  </si>
  <si>
    <t>Monatlicher Ertrag</t>
  </si>
  <si>
    <t>Solarertrag überschreiben (Expertenfeld)</t>
  </si>
  <si>
    <t>PV-Anlage 1</t>
  </si>
  <si>
    <t>Dachfläche 1</t>
  </si>
  <si>
    <t>Dachfläche 2</t>
  </si>
  <si>
    <t xml:space="preserve">Geometrische Berechnungen Dachfläche 1 - </t>
  </si>
  <si>
    <t>Dachfläche 1:</t>
  </si>
  <si>
    <t>Dachfläche 2:</t>
  </si>
  <si>
    <t>Solarertrag gesamt</t>
  </si>
  <si>
    <t>PV-Anlage</t>
  </si>
  <si>
    <t>PVAusrichtung</t>
  </si>
  <si>
    <t>PVNeigung</t>
  </si>
  <si>
    <t>PV2Ausrichtung</t>
  </si>
  <si>
    <t>PV2Neigung</t>
  </si>
  <si>
    <t xml:space="preserve">Geometrische Berechnungen Dachfläche 2 - </t>
  </si>
  <si>
    <t>PV-Anlage 2</t>
  </si>
  <si>
    <t>Geometrische Faktoren</t>
  </si>
  <si>
    <t>Gesamt</t>
  </si>
  <si>
    <t>Berechnet</t>
  </si>
  <si>
    <t>Final</t>
  </si>
  <si>
    <t>Faktor:</t>
  </si>
  <si>
    <t>Gesamt:</t>
  </si>
  <si>
    <t>pro Portion:</t>
  </si>
  <si>
    <r>
      <t>CO</t>
    </r>
    <r>
      <rPr>
        <b/>
        <vertAlign val="subscript"/>
        <sz val="22"/>
        <color theme="1"/>
        <rFont val="Calibri"/>
        <family val="2"/>
        <scheme val="minor"/>
      </rPr>
      <t>2</t>
    </r>
    <r>
      <rPr>
        <b/>
        <sz val="22"/>
        <color theme="1"/>
        <rFont val="Calibri"/>
        <family val="2"/>
        <scheme val="minor"/>
      </rPr>
      <t>-Rechner für Schulen</t>
    </r>
  </si>
  <si>
    <t>Auto (Fahrgemeinschaft)</t>
  </si>
  <si>
    <t>Achtung: Die Schreibweise bei den Antworten bitte nicht ändern, da sonst die</t>
  </si>
  <si>
    <t>Formeln bei der automatisierten Auswertung nicht funktionieren.</t>
  </si>
  <si>
    <t>(Dies gilt natürlich auch für die folgenden Fragen und Antworten)</t>
  </si>
  <si>
    <t>Gemischt (50% Recycling)</t>
  </si>
  <si>
    <t>Kommentar ausblenden</t>
  </si>
  <si>
    <t xml:space="preserve"> </t>
  </si>
  <si>
    <t>OK</t>
  </si>
  <si>
    <t>Anteil des Stroms der PV-Anlage am Gesamtstromverbrauch:</t>
  </si>
  <si>
    <t>Kopierpapier (A4):</t>
  </si>
  <si>
    <t>Papierhandtücher:</t>
  </si>
  <si>
    <t>Sonstiges:</t>
  </si>
  <si>
    <t xml:space="preserve">Entwicklung der Emissionsfaktoren </t>
  </si>
  <si>
    <t>mit Vorkette</t>
  </si>
  <si>
    <t>*Schätzwert</t>
  </si>
  <si>
    <t>*vorläufig</t>
  </si>
  <si>
    <t xml:space="preserve">Bei den meisten Energieträgern ändern sich die Emissionen von Jahr zu Jahr kaum, etwa bei Öl und Gas. Beim Strom hängt der Emissionsfaktor jedoch davon ab, welche Kraftwerke im Einsatz sind um den Strommix zu erzeugen. Der Emissionsfaktor schwankt daher jedes Jahr. Bei den öffentlichen Verkehrsmitteln gibt es außerdem einen Corona-Effekt: Durch die wesentlich geringere Auslastung sank die Auslastung und die Emissionen pro Passagier stiegen somit. </t>
  </si>
  <si>
    <t>Bezugsjahr</t>
  </si>
  <si>
    <t>Spalte</t>
  </si>
  <si>
    <t>Bezugsjahr Spalte</t>
  </si>
  <si>
    <t>BezugsjahrSpalte</t>
  </si>
  <si>
    <t>Strommix 2018</t>
  </si>
  <si>
    <t>Strommix 2019</t>
  </si>
  <si>
    <t>Strommix 2020</t>
  </si>
  <si>
    <t>Strommix 2021</t>
  </si>
  <si>
    <t>Strommix 2022</t>
  </si>
  <si>
    <t>Art des Wertes</t>
  </si>
  <si>
    <t>Umweltbundesamt</t>
  </si>
  <si>
    <t>finaler Wert</t>
  </si>
  <si>
    <t>Platzhalter</t>
  </si>
  <si>
    <t>Schulbus 2018</t>
  </si>
  <si>
    <t>final</t>
  </si>
  <si>
    <r>
      <t>Wert in gCO</t>
    </r>
    <r>
      <rPr>
        <b/>
        <vertAlign val="subscript"/>
        <sz val="11"/>
        <color theme="1"/>
        <rFont val="Calibri"/>
        <family val="2"/>
        <scheme val="minor"/>
      </rPr>
      <t>₂</t>
    </r>
    <r>
      <rPr>
        <b/>
        <sz val="11"/>
        <color theme="1"/>
        <rFont val="Calibri"/>
        <family val="2"/>
        <scheme val="minor"/>
      </rPr>
      <t>/km</t>
    </r>
  </si>
  <si>
    <t>Schulbus 2019</t>
  </si>
  <si>
    <t>Schulbus 2020</t>
  </si>
  <si>
    <t>Schulbus 2021</t>
  </si>
  <si>
    <t>Schulbus 2022</t>
  </si>
  <si>
    <t>Linienbus (Nahverkehr) 2018</t>
  </si>
  <si>
    <t>Linienbus (Nahverkehr) 2019</t>
  </si>
  <si>
    <t>Linienbus (Nahverkehr) 2020</t>
  </si>
  <si>
    <t>Linienbus (Nahverkehr) 2021</t>
  </si>
  <si>
    <t>Linienbus (Nahverkehr) 2022</t>
  </si>
  <si>
    <t>andere ÖPNV (S-Bahn/Bahn,…) 2018</t>
  </si>
  <si>
    <t>andere ÖPNV (S-Bahn/Bahn,…) 2019</t>
  </si>
  <si>
    <t>andere ÖPNV (S-Bahn/Bahn,…) 2020</t>
  </si>
  <si>
    <t>andere ÖPNV (S-Bahn/Bahn,…) 2021</t>
  </si>
  <si>
    <t>andere ÖPNV (S-Bahn/Bahn,…) 2022</t>
  </si>
  <si>
    <t>Auto (Kleinwagen) 2018</t>
  </si>
  <si>
    <t>Auto (Kleinwagen) 2019</t>
  </si>
  <si>
    <t>Auto (Kleinwagen) 2020</t>
  </si>
  <si>
    <t>Auto (Kleinwagen) 2021</t>
  </si>
  <si>
    <t>Auto (Kleinwagen) 2022</t>
  </si>
  <si>
    <t>Auto (Mittelklasse) 2018</t>
  </si>
  <si>
    <t>Auto (Mittelklasse) 2019</t>
  </si>
  <si>
    <t>Auto (Mittelklasse) 2020</t>
  </si>
  <si>
    <t>Auto (Mittelklasse) 2021</t>
  </si>
  <si>
    <t>Auto (Mittelklasse) 2022</t>
  </si>
  <si>
    <t>Auto (Oberklasse/SUV) 2018</t>
  </si>
  <si>
    <t>Auto (Oberklasse/SUV) 2019</t>
  </si>
  <si>
    <t>Auto (Oberklasse/SUV) 2020</t>
  </si>
  <si>
    <t>Auto (Oberklasse/SUV) 2021</t>
  </si>
  <si>
    <t>Auto (Oberklasse/SUV) 2022</t>
  </si>
  <si>
    <t>Auto-Fahrgemeinschaft 2018</t>
  </si>
  <si>
    <t>Auto-Fahrgemeinschaft 2019</t>
  </si>
  <si>
    <t>Auto-Fahrgemeinschaft 2020</t>
  </si>
  <si>
    <t>Auto-Fahrgemeinschaft 2021</t>
  </si>
  <si>
    <t>Auto-Fahrgemeinschaft 2022</t>
  </si>
  <si>
    <t>E-Auto (rein elektrisch) 2018</t>
  </si>
  <si>
    <t>E-Auto (rein elektrisch) 2019</t>
  </si>
  <si>
    <t>E-Auto (rein elektrisch) 2020</t>
  </si>
  <si>
    <t>E-Auto (rein elektrisch) 2021</t>
  </si>
  <si>
    <t>E-Auto (rein elektrisch) 2022</t>
  </si>
  <si>
    <t>Eisenbahn Fernverkehr 2018</t>
  </si>
  <si>
    <t>Eisenbahn Fernverkehr 2019</t>
  </si>
  <si>
    <t>Eisenbahn Fernverkehr 2020</t>
  </si>
  <si>
    <t>Eisenbahn Fernverkehr 2021</t>
  </si>
  <si>
    <t>Eisenbahn Fernverkehr 2022</t>
  </si>
  <si>
    <t>Flugzeug Inland 2018</t>
  </si>
  <si>
    <t>Flugzeug Inland 2019</t>
  </si>
  <si>
    <t>Flugzeug Inland 2020</t>
  </si>
  <si>
    <t>Flugzeug Inland 2021</t>
  </si>
  <si>
    <t>Flugzeug Inland 2022</t>
  </si>
  <si>
    <t>Flugzeug Ausland 2018</t>
  </si>
  <si>
    <t>Flugzeug Ausland 2019</t>
  </si>
  <si>
    <t>Flugzeug Ausland 2020</t>
  </si>
  <si>
    <t>Flugzeug Ausland 2021</t>
  </si>
  <si>
    <t>Flugzeug Ausland 2022</t>
  </si>
  <si>
    <t>mit 1,4 Pers/PkW</t>
  </si>
  <si>
    <t>80% des Pkw Durchschnittswertes</t>
  </si>
  <si>
    <t>120% des Pkw Durchschnittswertes</t>
  </si>
  <si>
    <t>Schätzwert</t>
  </si>
  <si>
    <t>Mittelklasse PkW mit 2,5 Personen</t>
  </si>
  <si>
    <t>basierend auf 20 kWh/100 km und Emissionsfaktor Strom</t>
  </si>
  <si>
    <t>mit 18% Auslastung</t>
  </si>
  <si>
    <t>mit 13% Auslastung</t>
  </si>
  <si>
    <t>Wert von 2019</t>
  </si>
  <si>
    <t>mit 19% Auslastung</t>
  </si>
  <si>
    <t>mit 70% Auslastung</t>
  </si>
  <si>
    <t>mit 53% Auslastung</t>
  </si>
  <si>
    <t>Wert für Flug nach New York</t>
  </si>
  <si>
    <t>mit 56% Auslastung</t>
  </si>
  <si>
    <t>mit 31% Auslastung</t>
  </si>
  <si>
    <t>Energie</t>
  </si>
  <si>
    <t>Mobilität</t>
  </si>
  <si>
    <t>#005989</t>
  </si>
  <si>
    <t>#87BD25</t>
  </si>
  <si>
    <t>#E94B4D</t>
  </si>
  <si>
    <t>#F18800</t>
  </si>
  <si>
    <t>Zwischenbilanz Ernährung</t>
  </si>
  <si>
    <t>Zwischenbilanz Beschaffung</t>
  </si>
  <si>
    <t>[kg CO2-Äq. / kg Lebensmittel]</t>
  </si>
  <si>
    <t>Ananas, frisch, gemäß realem Transport-Durchschnitt</t>
  </si>
  <si>
    <t>Ananas, per Schiff</t>
  </si>
  <si>
    <t>Ananas, per Flugzeug</t>
  </si>
  <si>
    <t>Ananas, Dose</t>
  </si>
  <si>
    <t>Apfel, Durchschnitt</t>
  </si>
  <si>
    <t>Apfel, aus der Region im Herbst</t>
  </si>
  <si>
    <t>Apfel, aus der Region im April</t>
  </si>
  <si>
    <t>Apfel (Bio), Durchschnitt</t>
  </si>
  <si>
    <t>Apfel, aus Neuseeland</t>
  </si>
  <si>
    <t>Aubergine</t>
  </si>
  <si>
    <t>Avocado, Durchschnitt</t>
  </si>
  <si>
    <t>Avocado, aus Peru</t>
  </si>
  <si>
    <t>Avocado (Bio), aus Peru</t>
  </si>
  <si>
    <t>Banane</t>
  </si>
  <si>
    <t>Birne</t>
  </si>
  <si>
    <t>Blumenkohl</t>
  </si>
  <si>
    <t>Bohnen, frisch</t>
  </si>
  <si>
    <t>Bohnen, Dose</t>
  </si>
  <si>
    <t>Brokkoli, frisch</t>
  </si>
  <si>
    <t>Brokkoli, gefroren</t>
  </si>
  <si>
    <t>Champignons, frisch, hell oder dunkel</t>
  </si>
  <si>
    <t>Champignons, Dose</t>
  </si>
  <si>
    <t>Erbsen, frisch, grün, in Schoten</t>
  </si>
  <si>
    <t>Erbsen, getrocknet</t>
  </si>
  <si>
    <t>Erbsen, gefroren</t>
  </si>
  <si>
    <t>Erbsen, grün, Dose</t>
  </si>
  <si>
    <t>Erbsen, grün, Glas</t>
  </si>
  <si>
    <t>Erdbeeren, frisch, Durchschnitt</t>
  </si>
  <si>
    <t>Erdbeeren, frisch, aus der Region, saisonal</t>
  </si>
  <si>
    <t>Erdbeeren, frisch, aus Spanien</t>
  </si>
  <si>
    <t>Erdbeeren, gefroren</t>
  </si>
  <si>
    <t>Erdbeeren, frisch, „Winter-Erdbeeren“</t>
  </si>
  <si>
    <t>Feldsalat</t>
  </si>
  <si>
    <t>Fenchel</t>
  </si>
  <si>
    <t>Grünkohl, frisch</t>
  </si>
  <si>
    <t>Grünkohl, Glas</t>
  </si>
  <si>
    <t>Karotten</t>
  </si>
  <si>
    <t>Kartoffeln, frisch</t>
  </si>
  <si>
    <t>Kartoffeln (Bio)</t>
  </si>
  <si>
    <t>Kartoffelpüreepulver</t>
  </si>
  <si>
    <t>Kichererbsen, Dose</t>
  </si>
  <si>
    <t>Kohlrabi</t>
  </si>
  <si>
    <t>Kürbis</t>
  </si>
  <si>
    <t>Lauch</t>
  </si>
  <si>
    <t>Leinsamen</t>
  </si>
  <si>
    <t>Linsen, getrocknet</t>
  </si>
  <si>
    <t>Linsen (Bio), getrocknet</t>
  </si>
  <si>
    <t>Linsen, Dose</t>
  </si>
  <si>
    <t>Mais, Dose</t>
  </si>
  <si>
    <t>Orange / Apfelsine</t>
  </si>
  <si>
    <t>Paprika</t>
  </si>
  <si>
    <t>Pfirsich, frisch</t>
  </si>
  <si>
    <t>Pfirsich, Dose</t>
  </si>
  <si>
    <t>Rettich</t>
  </si>
  <si>
    <t>Rosenkohl, frisch</t>
  </si>
  <si>
    <t>Rosenkohl, gefroren</t>
  </si>
  <si>
    <t>Rote Beete, frisch</t>
  </si>
  <si>
    <t>Rote Beete, Glas</t>
  </si>
  <si>
    <t>Rotkohl, frisch</t>
  </si>
  <si>
    <t>Rotkohl, Glas</t>
  </si>
  <si>
    <t>Rucola</t>
  </si>
  <si>
    <t>Salatgurke mit Plastikfolienverpackung</t>
  </si>
  <si>
    <t>Salatgurke, ohne Plastikfolienverpackung</t>
  </si>
  <si>
    <t>Salatgurke (Bio), mit Plastikfolienverpackung</t>
  </si>
  <si>
    <t>Salatgurke (Bio), ohne Plastikfolienverpackung</t>
  </si>
  <si>
    <t>Salatmischung, gewaschen</t>
  </si>
  <si>
    <t>Sellerie</t>
  </si>
  <si>
    <t>Spargel</t>
  </si>
  <si>
    <t>Spinat, frisch</t>
  </si>
  <si>
    <t>Spinat, Blattspinat, gefroren</t>
  </si>
  <si>
    <t>Tomaten, frisch, Durchschnitt</t>
  </si>
  <si>
    <t>Tomaten, aus Deutschland, saisonal</t>
  </si>
  <si>
    <t>Tomaten, aus Südeuropa, Freiland</t>
  </si>
  <si>
    <t>Tomaten (Bio), frisch</t>
  </si>
  <si>
    <t>Tomaten, Kirschtomaten</t>
  </si>
  <si>
    <t>Tomaten, passiert, Verbundkarton</t>
  </si>
  <si>
    <t>Tomaten, passiert, Dose</t>
  </si>
  <si>
    <t>Tomaten, passiert, Glas</t>
  </si>
  <si>
    <t>Tomatenmark</t>
  </si>
  <si>
    <t>Trauben, frisch, Durchschnitt</t>
  </si>
  <si>
    <t>Trauben, frisch, aus Deutschland, saisonal</t>
  </si>
  <si>
    <t>Trauben, frisch, aus Italien, saisonal</t>
  </si>
  <si>
    <t>Weißkohl</t>
  </si>
  <si>
    <t>Zucchini</t>
  </si>
  <si>
    <t>Zwiebeln</t>
  </si>
  <si>
    <t>Milchprodukte, Eier und Milchersatzprodukte</t>
  </si>
  <si>
    <t>Butter (Bio)</t>
  </si>
  <si>
    <t>Ei</t>
  </si>
  <si>
    <t>Joghurt, natur, Kunststoffbecher papierummantelt</t>
  </si>
  <si>
    <t>Joghurt, Früchte, Kunststoffbecher papierummantelt</t>
  </si>
  <si>
    <t>Joghurt (Bio), natur, Kunststoffbecher papierummantelt</t>
  </si>
  <si>
    <t>Joghurt-Ersatz, Soja, Kunststoffbecher papierummantelt</t>
  </si>
  <si>
    <t>Käse, Durchschnitt</t>
  </si>
  <si>
    <t>Käse (Bio), Durchschnitt</t>
  </si>
  <si>
    <t>Käse, Frischkäse</t>
  </si>
  <si>
    <t>Käse (Bio), Frischkäse</t>
  </si>
  <si>
    <t>Käse, Feta</t>
  </si>
  <si>
    <t>Käse, Hartkäse, wie Emmentaler</t>
  </si>
  <si>
    <t>Käse, Hartkäse, wie Parmesan</t>
  </si>
  <si>
    <t>Käse-Ersatz, vegane Genießerscheiben, auf Basis von Kokosfett</t>
  </si>
  <si>
    <t>Milch, ESL, Vollmilch, Verbundkarton</t>
  </si>
  <si>
    <t>Milch, ESL, fettarm, Verbundkarton</t>
  </si>
  <si>
    <t>Milch, H-Milch, Vollmilch, Verbundkarton</t>
  </si>
  <si>
    <t>Milch, H-Milch, fettarm, Verbundkarton</t>
  </si>
  <si>
    <t>Milch (Bio), ESL, Vollmilch, Verbundkarton</t>
  </si>
  <si>
    <t>Milch-Ersatz, Dinkeldrink</t>
  </si>
  <si>
    <t>Milch-Ersatz, Haferdrink</t>
  </si>
  <si>
    <t>Milch-Ersatz, Mandeldrink</t>
  </si>
  <si>
    <t>Milch-Ersatz, Sojadrink</t>
  </si>
  <si>
    <t>Quark, 40 % Fett</t>
  </si>
  <si>
    <t>Quark (Bio), 40 % Fett</t>
  </si>
  <si>
    <t>Quark, Magerquark, 10 % Fett</t>
  </si>
  <si>
    <t>Quark-Ersatz, Soja</t>
  </si>
  <si>
    <t>Sahne (Bio)</t>
  </si>
  <si>
    <t>Sahne-Ersatz, Hafer Cuisine</t>
  </si>
  <si>
    <t>Saure Sahne</t>
  </si>
  <si>
    <t>Fleisch und alternative Proteinlieferanten</t>
  </si>
  <si>
    <t>Bratling/Veggieburger/Patty auf Sojabasis</t>
  </si>
  <si>
    <t>Bratling/Veggieburger/Patty auf Erbsenbasis</t>
  </si>
  <si>
    <t>Fisch, Wildfang, Massenware, gefroren</t>
  </si>
  <si>
    <t>Fisch, Wildfang, Spezialität, gefroren</t>
  </si>
  <si>
    <t>Fisch, Aquakultur</t>
  </si>
  <si>
    <t>Fisch, Garnelen, gefroren</t>
  </si>
  <si>
    <t>Fisch, Wildfang, frisch</t>
  </si>
  <si>
    <t>Gemüsenugget /-schnitzel</t>
  </si>
  <si>
    <t>Hähnchen, Durchschnitt</t>
  </si>
  <si>
    <t>Hähnchen, gefroren</t>
  </si>
  <si>
    <t>Hähnchen, Nuggets</t>
  </si>
  <si>
    <t>Hähnchen, Wurstaufschnitt</t>
  </si>
  <si>
    <t>Lupinenmehl</t>
  </si>
  <si>
    <t>Rinder-Patty/-Bratling, tiefgekühlt</t>
  </si>
  <si>
    <t>Schweinefleisch, Durchschnitt</t>
  </si>
  <si>
    <t>Schweinefleisch (Bio)</t>
  </si>
  <si>
    <t>Schweinefleisch, gefroren</t>
  </si>
  <si>
    <t>Seitan</t>
  </si>
  <si>
    <t>Sojagranulat, Textured Vegetable Protein (TVP)</t>
  </si>
  <si>
    <t>Tempeh</t>
  </si>
  <si>
    <t>Tofu</t>
  </si>
  <si>
    <t>Wurst, Bratwurst, Thüringer Rostbratwurst</t>
  </si>
  <si>
    <t>Wurst-Ersatz, vegane Bratwurst</t>
  </si>
  <si>
    <t>Wurstaufschnitt vom Rind, Aufschnitt</t>
  </si>
  <si>
    <t>Brot, Mischbrot</t>
  </si>
  <si>
    <t>Brot (Bio), Mischbrot</t>
  </si>
  <si>
    <t>Bulgur</t>
  </si>
  <si>
    <t>Dinkel, Reisersatz</t>
  </si>
  <si>
    <t>Erdnüsse, in Schale</t>
  </si>
  <si>
    <t>Erdnussbutter</t>
  </si>
  <si>
    <t>Gnocchi</t>
  </si>
  <si>
    <t>Haferflocken</t>
  </si>
  <si>
    <t>Honig, Glas</t>
  </si>
  <si>
    <t>Kokosöl</t>
  </si>
  <si>
    <t>Margarine, halbfett</t>
  </si>
  <si>
    <t>Margarine, vollfett</t>
  </si>
  <si>
    <t>Margarine (Bio), vollfett</t>
  </si>
  <si>
    <t>Nudeln</t>
  </si>
  <si>
    <t>Nudeln (Bio)</t>
  </si>
  <si>
    <t>Olivenöl, Glaseinwegflasche</t>
  </si>
  <si>
    <t>Pommes, tiefgekühlt</t>
  </si>
  <si>
    <t>Rapsöl, Glaseinwegflasche</t>
  </si>
  <si>
    <t>Schokolade, Vollmilchschokolade, Tafel, 35 % Kakaogehalt</t>
  </si>
  <si>
    <t>Sonnenblumenkerne</t>
  </si>
  <si>
    <t>Sonnenblumenöl, Glaseinwegflasche</t>
  </si>
  <si>
    <t>Walnüsse, in Schale</t>
  </si>
  <si>
    <t>Zucker, Rübenzucker</t>
  </si>
  <si>
    <t>Zucker (Bio), Rübenzucker</t>
  </si>
  <si>
    <t>Zucker, Rohrzucker</t>
  </si>
  <si>
    <t>Zucker (Bio), Rohrzucker</t>
  </si>
  <si>
    <t>Kaffee, Pulver</t>
  </si>
  <si>
    <t>Kakao, Pulver</t>
  </si>
  <si>
    <t>Limonade, Orangenlimonade, 0,75 L- Einwegplastikflasche</t>
  </si>
  <si>
    <t>Mineralwasser, 0,7 L-Glasmehrwegflasche</t>
  </si>
  <si>
    <t>Saft, Orangensaft, 1,0 L-Verbundkarton</t>
  </si>
  <si>
    <t>Saft, Apfelsaft, 1,0 L-Glasmehrwegflasche</t>
  </si>
  <si>
    <t>Saft, Apfelsaft, 1,0 L-Verbundkarton</t>
  </si>
  <si>
    <t>Wasser, Leitungswasser</t>
  </si>
  <si>
    <t>Stärke-, öl- oder zuckerhaltige Produkte</t>
  </si>
  <si>
    <t>Getränke</t>
  </si>
  <si>
    <t>Obst und Gemüse (A-E)</t>
  </si>
  <si>
    <t>Obst und Gemüse (F-R)</t>
  </si>
  <si>
    <t>Obst und Gemüse (S-Z)</t>
  </si>
  <si>
    <t>Tomaten, aus Deutschland, beheiztes Gewächshaus, „Winter-Tomate“</t>
  </si>
  <si>
    <t>Kategorie</t>
  </si>
  <si>
    <t>Variabler Listeneintrag</t>
  </si>
  <si>
    <t>Sekundarschule</t>
  </si>
  <si>
    <t>Gemeinschaftsschule</t>
  </si>
  <si>
    <t>7 km</t>
  </si>
  <si>
    <t>https://www.atmosfair.de/de/kompensieren/flug/</t>
  </si>
  <si>
    <t>Einstellungen</t>
  </si>
  <si>
    <t>Experten-Einstellungen für Schulzentren mit mehreren Schulen und Emissionsfaktoren</t>
  </si>
  <si>
    <t xml:space="preserve">Dieser Teil muss nur bearbeitet werden, wenn ein Schulzentrum mehrere Schulen behaust und daher bei den Verbrauchswerten eine Abgrenzung benötigt wird. 
Im unteren Teil können außerdem die Emissionsfaktoren eingesehen und überschrieben werden. </t>
  </si>
  <si>
    <t>Einstellungen Schultage</t>
  </si>
  <si>
    <t>Hier sind die Emissionsfaktoren für verschiedene Energieträger und Verkehrsmittel hinterlegt. 
Bei Bedarf können die vorgegebenen Emissionsfaktoren überschrieben werden. Hierzu ist das gelb-grau schraffierte Feld vorgesehen.
Bitte passt den Wert nur mit einer guten Begründung und in Ausnahmefällen an, da dies den Vergleich zwischen den Schulen erschwert.</t>
  </si>
  <si>
    <t>Das Bezugsjahr kann im Tabellenblatt Allgemeines eingestellt werden.</t>
  </si>
  <si>
    <t xml:space="preserve">Bezugsjahr: </t>
  </si>
  <si>
    <t>zu den Einstellungen der Emissionsfaktoren:</t>
  </si>
  <si>
    <t>Einstellungen Schulzentrum mit mehreren Schulen</t>
  </si>
  <si>
    <t>zu den Einstellungen Schulzentrum:</t>
  </si>
  <si>
    <t>Allgemeine Einstellungen</t>
  </si>
  <si>
    <t>Strecke
(einfach)</t>
  </si>
  <si>
    <t>Hinweis</t>
  </si>
  <si>
    <t>Tabelle Schüleraustausch</t>
  </si>
  <si>
    <t>Auto zu zweit</t>
  </si>
  <si>
    <t>Auto zu dritt</t>
  </si>
  <si>
    <r>
      <t>Finaler Wert
in kg CO</t>
    </r>
    <r>
      <rPr>
        <b/>
        <vertAlign val="subscript"/>
        <sz val="11"/>
        <color theme="0"/>
        <rFont val="Calibri"/>
        <family val="2"/>
        <scheme val="minor"/>
      </rPr>
      <t>2</t>
    </r>
  </si>
  <si>
    <t>Link zum Kompensationsrechner auf Atmosfair.de:</t>
  </si>
  <si>
    <t>Ⓥ</t>
  </si>
  <si>
    <t>🌱</t>
  </si>
  <si>
    <t>🥩</t>
  </si>
  <si>
    <t>Wildfleisch, Hirsch</t>
  </si>
  <si>
    <t>Rindfleisch, Durchschnitt</t>
  </si>
  <si>
    <t>Rindfleisch (Bio)</t>
  </si>
  <si>
    <t>Rinder-Hackfleisch</t>
  </si>
  <si>
    <t>Rinder-Hackfleisch (Bio)</t>
  </si>
  <si>
    <t>Palmfett</t>
  </si>
  <si>
    <t>https://forms.gle/zxrpxFPEmAA6spZU9</t>
  </si>
  <si>
    <t>https://docs.google.com/spreadsheets/d/13ZXO38m2Az4dYRd7UD_aQs1_p-rDuk9diI-ucnfObow/edit?usp=sharing</t>
  </si>
  <si>
    <t>Link zur Ergebnisliste</t>
  </si>
  <si>
    <t>0=Vegan/1=Vegetarisch/10=Fleisch</t>
  </si>
  <si>
    <t>GewichtMittagessenMin</t>
  </si>
  <si>
    <t>GewichtMittagessenMax</t>
  </si>
  <si>
    <t>Lookup Spalte</t>
  </si>
  <si>
    <t>Lookup Zeile</t>
  </si>
  <si>
    <t>Lookup Wert (kg CO₂/kg)</t>
  </si>
  <si>
    <t>Anzahl der Öffnungstage der Kantine im Jahr</t>
  </si>
  <si>
    <t>Beschaffung Papier</t>
  </si>
  <si>
    <t>Pauschalierter Ansatz</t>
  </si>
  <si>
    <t>Papierart</t>
  </si>
  <si>
    <t>Personen
an der 
Schule</t>
  </si>
  <si>
    <t>Ø Verbrauch
 / Person in kg</t>
  </si>
  <si>
    <t>Verbrauch
 / Jahr in kg</t>
  </si>
  <si>
    <t>tatsächliche Verbrauchswerte eingeben</t>
  </si>
  <si>
    <t>Beschaffung 2</t>
  </si>
  <si>
    <t>Wasserverbrauch</t>
  </si>
  <si>
    <t>Berechnungsmethode wählen</t>
  </si>
  <si>
    <t>Unter dem Reiter „Beschaffung“ tragt ihr Daten zum Papierverbrauch eurer Schule pro Schuljahr ein. Den Papierverbrauch erhaltet ihr bei der Schulleitung oder auch beim Hausmeister.
Wenn möglich, solltet Ihr die tatsächlichen Verbrauchswerte eintragen. Wenn Ihr jedoch keine Verbrauchswerte bekommt, könnte Ihr auch einen Schätzwert verwenden, indem Ihr "Durchschnittswert anderer Schulen verwenden". 
Weitere Informationen finden sich ganz unten auf diesem Tabellenblatt</t>
  </si>
  <si>
    <t>Papiertyp</t>
  </si>
  <si>
    <t>Berechnungsmethode</t>
  </si>
  <si>
    <r>
      <rPr>
        <b/>
        <sz val="11"/>
        <color theme="1"/>
        <rFont val="Calibri"/>
        <family val="2"/>
        <scheme val="minor"/>
      </rPr>
      <t xml:space="preserve">Was tun, wenn wir keine Angaben zum Papierverbrauch erhalten?
</t>
    </r>
    <r>
      <rPr>
        <sz val="11"/>
        <color theme="1"/>
        <rFont val="Calibri"/>
        <family val="2"/>
        <scheme val="minor"/>
      </rPr>
      <t>Wenn weder die Schulleitung noch der Hausmeister Angaben zum Papierverbrauch machen können oder wollen, könnt Ihr den Papierverbrauch auch abschätzen, bzw. die Durchschnittswerte von anderen Schulen nehmen. Der Anteil des Papierverbrauchs an den Gesamtemissionen ist relativ gering, so das die genaue Angabe des Papierverbrauchs nur einen sehr geringen Einfluss auf den CO2-Fußabdruck eurer Schule hat.</t>
    </r>
  </si>
  <si>
    <t>Emis-
sions-
faktor</t>
  </si>
  <si>
    <t xml:space="preserve">Emissionen in kg CO2 </t>
  </si>
  <si>
    <t>Papierverbrauch gesamt</t>
  </si>
  <si>
    <t>Wasserverbrauch eingeben oder durchschnittlichen Verbrauch anderer Schulen verwenden</t>
  </si>
  <si>
    <t xml:space="preserve"> Beschaffung</t>
  </si>
  <si>
    <t>Wasser (Frisch- und Abwasser)</t>
  </si>
  <si>
    <r>
      <t>m</t>
    </r>
    <r>
      <rPr>
        <vertAlign val="superscript"/>
        <sz val="11"/>
        <color theme="1"/>
        <rFont val="Calibri"/>
        <family val="2"/>
        <scheme val="minor"/>
      </rPr>
      <t>3</t>
    </r>
  </si>
  <si>
    <r>
      <t>pro m</t>
    </r>
    <r>
      <rPr>
        <vertAlign val="superscript"/>
        <sz val="11"/>
        <color theme="1"/>
        <rFont val="Calibri"/>
        <family val="2"/>
        <scheme val="minor"/>
      </rPr>
      <t>3</t>
    </r>
  </si>
  <si>
    <t>https://atiptap.org/files/studie_gutcert_pcf_wasser.pdf</t>
  </si>
  <si>
    <t>atiptap.org</t>
  </si>
  <si>
    <t>Erfasste 
CO2-Emissionen</t>
  </si>
  <si>
    <t>Eingabe 
Anteil Schule</t>
  </si>
  <si>
    <t>Verwendeter 
Anteil</t>
  </si>
  <si>
    <t>CO2-Emissionen
von Schule</t>
  </si>
  <si>
    <t>Heizsystem / Wärmebedarf</t>
  </si>
  <si>
    <t>Milchprodukte, Eier und Milchersatz</t>
  </si>
  <si>
    <t>Fleisch und Vegi-Alternativen</t>
  </si>
  <si>
    <t>Liste Kategorien</t>
  </si>
  <si>
    <t>Zutat auswählen</t>
  </si>
  <si>
    <t>Kategorie auswählen</t>
  </si>
  <si>
    <t>Name des Gerichtes:</t>
  </si>
  <si>
    <t>Anzahl Portionen von Zutatenliste:</t>
  </si>
  <si>
    <t>Menü 4</t>
  </si>
  <si>
    <t>Menü 6</t>
  </si>
  <si>
    <t>Menü 5</t>
  </si>
  <si>
    <t>Menü 7</t>
  </si>
  <si>
    <t>Menü 8</t>
  </si>
  <si>
    <t>Menü 9</t>
  </si>
  <si>
    <t>Menü 10</t>
  </si>
  <si>
    <t>Menü 11</t>
  </si>
  <si>
    <t>Menü 12</t>
  </si>
  <si>
    <t>Gericht 6</t>
  </si>
  <si>
    <t>Gericht 7</t>
  </si>
  <si>
    <t>Gericht 8</t>
  </si>
  <si>
    <t>Gericht 9</t>
  </si>
  <si>
    <t>Gericht 10</t>
  </si>
  <si>
    <t>Gericht 11</t>
  </si>
  <si>
    <t>Gericht 12</t>
  </si>
  <si>
    <t>Gericht 13</t>
  </si>
  <si>
    <t>Gericht 14</t>
  </si>
  <si>
    <t>Gericht 15</t>
  </si>
  <si>
    <t>Gericht 16</t>
  </si>
  <si>
    <t>Menü 13</t>
  </si>
  <si>
    <t>Menü 14</t>
  </si>
  <si>
    <t>Menü 15</t>
  </si>
  <si>
    <t>Menü 17</t>
  </si>
  <si>
    <t>Menü 18</t>
  </si>
  <si>
    <t>Menü 19</t>
  </si>
  <si>
    <t>Menü 20</t>
  </si>
  <si>
    <t>Menü 16</t>
  </si>
  <si>
    <t>Gericht 17</t>
  </si>
  <si>
    <t>Gericht 18</t>
  </si>
  <si>
    <t>Gericht 19</t>
  </si>
  <si>
    <t>Gericht 20</t>
  </si>
  <si>
    <t>Lookup Fleisch, Vegetarisch, Vegan</t>
  </si>
  <si>
    <t>Einstufung Fleisch(10), vegetarisch (1) oder vegan(0)</t>
  </si>
  <si>
    <t xml:space="preserve">Anzeigen von Hinweisen: </t>
  </si>
  <si>
    <t>Anzahl der pro Tag verkauften Portionen eingeben:</t>
  </si>
  <si>
    <t>Vereinfachte Berechnungsmethode</t>
  </si>
  <si>
    <t>Gerichte</t>
  </si>
  <si>
    <t>Anteil in Prozent</t>
  </si>
  <si>
    <t xml:space="preserve">Emissionen pro Portion in kg CO₂ </t>
  </si>
  <si>
    <t xml:space="preserve">Emissionen gesamt in kg CO₂ </t>
  </si>
  <si>
    <t>Gerichte mit Fleisch/Fisch</t>
  </si>
  <si>
    <t>Vegetarische Gerichte</t>
  </si>
  <si>
    <t>Vegane Gerichte</t>
  </si>
  <si>
    <t>Anzahl Portionen 
pro Tag</t>
  </si>
  <si>
    <t>Wasserverbrauch pro Person pro Jahr</t>
  </si>
  <si>
    <t>Papierverbrauch</t>
  </si>
  <si>
    <t>Einheit wählen:</t>
  </si>
  <si>
    <t>Restmüll</t>
  </si>
  <si>
    <t>Greenpeace</t>
  </si>
  <si>
    <t>MinWasserverbrauchProPerson</t>
  </si>
  <si>
    <t>MaxWasserverbrauchProPerson</t>
  </si>
  <si>
    <t>Restmüll pro Person pro Jahr</t>
  </si>
  <si>
    <t>MinRestmüllProPerson</t>
  </si>
  <si>
    <t>MaxRestmüllProPerson</t>
  </si>
  <si>
    <t>UmrechnungsfaktorRestmüllKgInLiter</t>
  </si>
  <si>
    <t>Gesamte Restmüllmenge pro Jahr</t>
  </si>
  <si>
    <r>
      <t>Emissionsfaktor in kgCO</t>
    </r>
    <r>
      <rPr>
        <vertAlign val="subscript"/>
        <sz val="11"/>
        <color theme="1"/>
        <rFont val="Calibri"/>
        <family val="2"/>
        <scheme val="minor"/>
      </rPr>
      <t>2</t>
    </r>
    <r>
      <rPr>
        <sz val="11"/>
        <color theme="1"/>
        <rFont val="Calibri"/>
        <family val="2"/>
        <scheme val="minor"/>
      </rPr>
      <t>/m3</t>
    </r>
  </si>
  <si>
    <t>Abfall (nur Restmüll)</t>
  </si>
  <si>
    <t>Übersicht</t>
  </si>
  <si>
    <t>Gebrauchsgüter - Möbel</t>
  </si>
  <si>
    <t>IT/Digitale Endgeräte (PCs, Bildschirme und Tablets)</t>
  </si>
  <si>
    <t>Durchschnittliche Menge an Büchern pro Schüler in kg</t>
  </si>
  <si>
    <t>Emissionsfaktor Bücher</t>
  </si>
  <si>
    <t>Schulbücher</t>
  </si>
  <si>
    <t>Welche Methode soll verwendet werden?</t>
  </si>
  <si>
    <t>vereinfacht:</t>
  </si>
  <si>
    <t>normal</t>
  </si>
  <si>
    <t>Gesamte Restmüllmenge in Kubikmeter</t>
  </si>
  <si>
    <t>Stuhl/Bürostuhl</t>
  </si>
  <si>
    <t>pro Einheit</t>
  </si>
  <si>
    <t>https://www.oeko.de/oekodoc/1029/2010-081-de.pdf</t>
  </si>
  <si>
    <t>Geschätzte Anzahl Tische und Stühle (je 1 pro Person)</t>
  </si>
  <si>
    <t>Gebrauchsdauer Möbel</t>
  </si>
  <si>
    <t>5 Jahre</t>
  </si>
  <si>
    <t>6 Jahre</t>
  </si>
  <si>
    <t>7 Jahre</t>
  </si>
  <si>
    <t>8 Jahre</t>
  </si>
  <si>
    <t>9 Jahre</t>
  </si>
  <si>
    <t>10 Jahre</t>
  </si>
  <si>
    <t>11 Jahre</t>
  </si>
  <si>
    <t>12 Jahre</t>
  </si>
  <si>
    <t>13 Jahre</t>
  </si>
  <si>
    <t>14 Jahre</t>
  </si>
  <si>
    <t>15 Jahre</t>
  </si>
  <si>
    <t>16 Jahre</t>
  </si>
  <si>
    <t>17 Jahre</t>
  </si>
  <si>
    <t>18 Jahre</t>
  </si>
  <si>
    <t>19 Jahre</t>
  </si>
  <si>
    <t>20 Jahre</t>
  </si>
  <si>
    <t>22 Jahre</t>
  </si>
  <si>
    <t>24 Jahre</t>
  </si>
  <si>
    <t>26 Jahre</t>
  </si>
  <si>
    <t>28 Jahre</t>
  </si>
  <si>
    <t>30 Jahre</t>
  </si>
  <si>
    <t>32 Jahre</t>
  </si>
  <si>
    <t>34 Jahre</t>
  </si>
  <si>
    <t>36 Jahre</t>
  </si>
  <si>
    <t>38 Jahre</t>
  </si>
  <si>
    <t>40 Jahre</t>
  </si>
  <si>
    <t>Wie lange sind Tische und Stühle im Einsatz bis sie ersetzt werden?</t>
  </si>
  <si>
    <t>Jährlich neu ersetzte Anzahl an Stühlen und Tischen</t>
  </si>
  <si>
    <t>Emissionsfaktor für Stühle/Tische in kg CO₂ pro Möbelstück</t>
  </si>
  <si>
    <t>Möbel (Tische &amp; Stühle)</t>
  </si>
  <si>
    <t>Anzahl Schul-Laptops</t>
  </si>
  <si>
    <t>Durchschnittliche Nutzungsdauer der Laptops</t>
  </si>
  <si>
    <t>Anzahl der durchschnittlich pro Jahr neu beschafften Laptops</t>
  </si>
  <si>
    <t>Emissionsfaktor Laptop</t>
  </si>
  <si>
    <t>Emissionsfaktor PC</t>
  </si>
  <si>
    <t>Emissionsfaktor Tablet</t>
  </si>
  <si>
    <t>https://www.oeko.de/fileadmin/oekodoc/Digitaler-CO2-Fussabdruck.pdf</t>
  </si>
  <si>
    <t>Öko-Insitut 2020 (ohne SSD)</t>
  </si>
  <si>
    <t xml:space="preserve">Öko-Insitut 2020 </t>
  </si>
  <si>
    <t>Mittelwert, Öko-Institut 2020</t>
  </si>
  <si>
    <t>Gebrauchsdauer IT</t>
  </si>
  <si>
    <t>1 Jahr</t>
  </si>
  <si>
    <t>2 Jahre</t>
  </si>
  <si>
    <t>3 Jahre</t>
  </si>
  <si>
    <t>4 Jahre</t>
  </si>
  <si>
    <t>Notebooks</t>
  </si>
  <si>
    <t>Emissionsfaktor für Laptops pro Einheit</t>
  </si>
  <si>
    <t>Emissionen Notebooks gesamt</t>
  </si>
  <si>
    <t>Anzahl Desktop-PCs</t>
  </si>
  <si>
    <t>Durchschnittliche Nutzungsdauer der PCs</t>
  </si>
  <si>
    <t>Tablets</t>
  </si>
  <si>
    <t>Anzahl Schul-Tablets</t>
  </si>
  <si>
    <t>Durchschnittliche Nutzungsdauer der Tablets</t>
  </si>
  <si>
    <t>Emissionen PCs gesamt</t>
  </si>
  <si>
    <t>Emissionsfaktor für Desktop-PCs pro Einheit</t>
  </si>
  <si>
    <t>Anzahl der durchschnittlich pro Jahr neu beschafften PCs</t>
  </si>
  <si>
    <t>Anzahl der durchschnittlich pro Jahr neu beschafften Tablets</t>
  </si>
  <si>
    <t>Emissionsfaktor für Tablets pro Einheit</t>
  </si>
  <si>
    <t>Emissionen Tablets gesamt</t>
  </si>
  <si>
    <t>Zusammenfassung IT</t>
  </si>
  <si>
    <t>Summe Emissionen IT-Geräte</t>
  </si>
  <si>
    <t>Desktop-PCs</t>
  </si>
  <si>
    <t>PCs, Notebooks &amp; Tablets</t>
  </si>
  <si>
    <t>Möbel</t>
  </si>
  <si>
    <t>Pro Jahr neu beschaffte Bücher in kg</t>
  </si>
  <si>
    <t>Emissionen Bücher pro Jahr</t>
  </si>
  <si>
    <t>meistens nur ein Jahr</t>
  </si>
  <si>
    <t>etwa 2 Jahre</t>
  </si>
  <si>
    <t>etwa 3 Jahre</t>
  </si>
  <si>
    <t>etwa 4 Jahre</t>
  </si>
  <si>
    <t>etwa 5 Jahre</t>
  </si>
  <si>
    <t>bis sie ausgetauscht werden?</t>
  </si>
  <si>
    <t>In den meisten Schulen werden die Schulbücher von der Schule gestellt und mehreren Klassen hintereinander genutzt. Je länger die Bücher im Einsatz sind, desto niedriger fallen die CO2-Emissionen für neue Bücher aus. Dennoch sollten Schulbücher natürlich aktuell und in einem guten Zustand sein.</t>
  </si>
  <si>
    <t xml:space="preserve">Manche Schulen sind baulich eigenständig. Andere Schulen sind Teil eines Gebäudekomplexes oder Schulzentrums. Ist dies der Fall, so müssen Verbrauchswerte die sich auf den Gebäudekomplex beziehen, auf die Verursacher verteilt werden.
</t>
  </si>
  <si>
    <t>Menü 2 Pfannenkuchen</t>
  </si>
  <si>
    <t>Baujahr Schule (optional)</t>
  </si>
  <si>
    <t>Beschaffung Stühle &amp; Tische</t>
  </si>
  <si>
    <t>Beschaffung IT</t>
  </si>
  <si>
    <t>Beschaffung Schulbücher</t>
  </si>
  <si>
    <t>Leere Felder</t>
  </si>
  <si>
    <t>Essensreste</t>
  </si>
  <si>
    <t>Gesamte Küchenabfälle pro Jahr</t>
  </si>
  <si>
    <t>Anzahl verkaufte Essen pro Jahr</t>
  </si>
  <si>
    <t>UmrechnungsfaktorEssensresteLiterInKG</t>
  </si>
  <si>
    <t xml:space="preserve">Essensreste in Gramm pro Portion </t>
  </si>
  <si>
    <t>Eingabe der Lebensmittelabfälle in kg/Liter</t>
  </si>
  <si>
    <t>Eingabe der Essensreste in kg/Liter</t>
  </si>
  <si>
    <t>Gesamte Essenreste pro Jahr</t>
  </si>
  <si>
    <t>GrenzwertEssensresteSehrGut</t>
  </si>
  <si>
    <t>GrenzwertEssensresteGut</t>
  </si>
  <si>
    <t>GrenzwertEssensresteMittel</t>
  </si>
  <si>
    <t>TextEssensresteSehrGut</t>
  </si>
  <si>
    <t>TextEssensresteGut</t>
  </si>
  <si>
    <t>TextEssensresteMittel</t>
  </si>
  <si>
    <t>TextEssensresteSchlecht</t>
  </si>
  <si>
    <t>Sehr gut. Die Essensreste liegen deutlich unter dem Durchschnitt.</t>
  </si>
  <si>
    <t>Gut. Die Essensreste liegen unter dem Durchschnitt.</t>
  </si>
  <si>
    <t>Durchschnitt. Die Essensreste liegen im Durchschnitt.</t>
  </si>
  <si>
    <t xml:space="preserve">Ergebnis: </t>
  </si>
  <si>
    <t/>
  </si>
  <si>
    <t>erst Kategorie auswählen</t>
  </si>
  <si>
    <t>Externer Anteil</t>
  </si>
  <si>
    <t>Energienutzfläche (oder Putzfläche) der Schule</t>
  </si>
  <si>
    <t>Verbrauchsanteil Schule ohne Turnhalle</t>
  </si>
  <si>
    <t xml:space="preserve">Energienutzfläche von Gebäude gesamt </t>
  </si>
  <si>
    <t>Verbrauchsanteil Turnhalle für Schule</t>
  </si>
  <si>
    <t>Verbrauchsanteil Schule gesamt</t>
  </si>
  <si>
    <t>Verbrauchsanteil Turnhalle für externe</t>
  </si>
  <si>
    <t xml:space="preserve">Energienutzfläche von Gebäude für Berechnung </t>
  </si>
  <si>
    <t>Verbrauchsanteil externe mit Turnhalle</t>
  </si>
  <si>
    <t>Klassenfahrten mit höchsten CO₂-Emissionen</t>
  </si>
  <si>
    <t>Platzhalter 4</t>
  </si>
  <si>
    <t>#5B9BD5</t>
  </si>
  <si>
    <t>Beschreibung des Schüleraustausch mit Land</t>
  </si>
  <si>
    <t>Klasse 10a</t>
  </si>
  <si>
    <t>Klasse 11b</t>
  </si>
  <si>
    <t>Klasse 11c</t>
  </si>
  <si>
    <t>Hamburger</t>
  </si>
  <si>
    <t>detaillierter Rechner</t>
  </si>
  <si>
    <t>Durchschnittliche Wegstrecke (einfache Strecke)
in km</t>
  </si>
  <si>
    <t>Wegstrecke gesamt für alle Personen 
in km</t>
  </si>
  <si>
    <t>Emissionen pro Tag</t>
  </si>
  <si>
    <t>Emissionen pro Schuljahr</t>
  </si>
  <si>
    <t>In der vereinfachten Berechnung müssen nur die Verteilung der Personen auf die Verkehrsmittel und die durchschnittliche Weglänge pro Verkehrsmittel eingetragen werden.</t>
  </si>
  <si>
    <t>Wie weit ist es von Ihrer / deiner Haustür bis zum Schulgelände? (Einfache Strecke in km)</t>
  </si>
  <si>
    <t>https://goqr.me/de/</t>
  </si>
  <si>
    <t>Pakete Papierhandtücher (4000)</t>
  </si>
  <si>
    <t>Päckchen Papierhandtücher (250)</t>
  </si>
  <si>
    <t>Toilettenpapier</t>
  </si>
  <si>
    <t>Toilettenpapier:</t>
  </si>
  <si>
    <t>🥩 mit Fleisch/Fisch</t>
  </si>
  <si>
    <t>Ⓥ vegetarisch</t>
  </si>
  <si>
    <t>🌱 vegan</t>
  </si>
  <si>
    <t>Gemüse-Mix, frisch</t>
  </si>
  <si>
    <t>Gemüse-Mix, gefroren</t>
  </si>
  <si>
    <t>Gemüse-Mix, Dose</t>
  </si>
  <si>
    <t>Mehl</t>
  </si>
  <si>
    <t>Überproduktion</t>
  </si>
  <si>
    <t>Ausgabe- und Tellerreste</t>
  </si>
  <si>
    <t>Essensreste in % (bei 400g Gewicht)</t>
  </si>
  <si>
    <t>Achtung! Die Essensreste liegen über dem Durchschnitt.</t>
  </si>
  <si>
    <t xml:space="preserve">Essensreste aus der Überproduktion kann oft in den Folgetagen beispielsweise als Beilage oder Nachschlag eine Verwendung finden. </t>
  </si>
  <si>
    <t xml:space="preserve">Eine Bewertung findet deshalb hier nicht statt. </t>
  </si>
  <si>
    <r>
      <t>Gesamte Emissionen 
in kg CO</t>
    </r>
    <r>
      <rPr>
        <vertAlign val="subscript"/>
        <sz val="11"/>
        <color theme="1"/>
        <rFont val="Calibri"/>
        <family val="2"/>
        <scheme val="minor"/>
      </rPr>
      <t>2äq</t>
    </r>
  </si>
  <si>
    <r>
      <t>Emissionen pro Portion
in g CO</t>
    </r>
    <r>
      <rPr>
        <vertAlign val="subscript"/>
        <sz val="11"/>
        <color theme="1"/>
        <rFont val="Calibri"/>
        <family val="2"/>
        <scheme val="minor"/>
      </rPr>
      <t>2äq</t>
    </r>
  </si>
  <si>
    <t>Alle Gerichte</t>
  </si>
  <si>
    <t>Gibt es an Eurer Schule eine Schulküche/ Kantine</t>
  </si>
  <si>
    <t>Link zur 
Übersicht</t>
  </si>
  <si>
    <t>CO₂-Rechner Schulessen</t>
  </si>
  <si>
    <t>Vereinfachter CO₂-Rechner Schulessen</t>
  </si>
  <si>
    <t>Lookup Zutatenliste Ernährung</t>
  </si>
  <si>
    <t>Text zum reinkopieren:</t>
  </si>
  <si>
    <t>Titel:</t>
  </si>
  <si>
    <t>Einstellungen / Hinweise</t>
  </si>
  <si>
    <t>Antwort: Als Formularbeschreibung eingeben</t>
  </si>
  <si>
    <t>Tipp: Alle Antworten zu einer Frage können auf einmal in das Formular…</t>
  </si>
  <si>
    <t xml:space="preserve"> ...kopiert werden.</t>
  </si>
  <si>
    <t>#</t>
  </si>
  <si>
    <r>
      <rPr>
        <b/>
        <sz val="11"/>
        <color theme="1"/>
        <rFont val="Calibri"/>
        <family val="2"/>
        <scheme val="minor"/>
      </rPr>
      <t>1. Verbrauchswerte beschaffen</t>
    </r>
    <r>
      <rPr>
        <sz val="11"/>
        <color theme="1"/>
        <rFont val="Calibri"/>
        <family val="2"/>
        <scheme val="minor"/>
      </rPr>
      <t xml:space="preserve">
Um die Emissionen für das Heizsystem der Schule zu berechnen, benötigen wir zunächst die Menge aller Energieträger die innerhalb eines Jahres an der Schule zum Heizen verfeuert wurden. Sowohl der Schulträger, als auch die Schulleiten oder der Hausmeister haben diese Informationen. 
</t>
    </r>
    <r>
      <rPr>
        <b/>
        <sz val="11"/>
        <color theme="1"/>
        <rFont val="Calibri"/>
        <family val="2"/>
        <scheme val="minor"/>
      </rPr>
      <t>2. Abrechnungszeitraum bestimmen</t>
    </r>
    <r>
      <rPr>
        <sz val="11"/>
        <color theme="1"/>
        <rFont val="Calibri"/>
        <family val="2"/>
        <scheme val="minor"/>
      </rPr>
      <t xml:space="preserve">
Sollten die Verbrauchsmengen nicht für genau ein Jahr sein, so könnt Ihr den Anfang und das Ende des Abrechnungszeitraums angeben. 
</t>
    </r>
    <r>
      <rPr>
        <b/>
        <sz val="11"/>
        <color theme="1"/>
        <rFont val="Calibri"/>
        <family val="2"/>
        <scheme val="minor"/>
      </rPr>
      <t>3. CO₂-Emissionen berechnen</t>
    </r>
    <r>
      <rPr>
        <sz val="11"/>
        <color theme="1"/>
        <rFont val="Calibri"/>
        <family val="2"/>
        <scheme val="minor"/>
      </rPr>
      <t xml:space="preserve">
Jeder Energieträger verursacht beim Transport in die Schule und bei der Verbrennung unterschiedlich hohe CO₂-Emissionen. Wo die hier verwendeten Emissionswerte herkommen, ist im Tabellenblatt Allgemeines angegeben.
Um die Gesamtemissionen zu berechnen, multiplizieren wir die Menge der verbrannten Energieträger mit den Emissionsfaktoren der Energieträger.</t>
    </r>
  </si>
  <si>
    <r>
      <rPr>
        <b/>
        <sz val="11"/>
        <color theme="1"/>
        <rFont val="Calibri"/>
        <family val="2"/>
        <scheme val="minor"/>
      </rPr>
      <t>1. Jahresstromverbrauch beschaffen</t>
    </r>
    <r>
      <rPr>
        <sz val="11"/>
        <color theme="1"/>
        <rFont val="Calibri"/>
        <family val="2"/>
        <scheme val="minor"/>
      </rPr>
      <t xml:space="preserve">
Um die Emissionen für den Stromverbrauch der Schule zu berechnen, benötigen wir zunächst den Jahresstromverbrauch, also die Menge Strom in kWh die innerhalb eines Jahres an der Schule verbraucht wird. Den Jahresstromverbrauch erhaltet Ihr vom Schulträger, von der Schulleitung oder auch vom Hausmeister. 
</t>
    </r>
    <r>
      <rPr>
        <b/>
        <sz val="11"/>
        <color theme="1"/>
        <rFont val="Calibri"/>
        <family val="2"/>
        <scheme val="minor"/>
      </rPr>
      <t>2. Abrechnungszeitraum bestimmen</t>
    </r>
    <r>
      <rPr>
        <sz val="11"/>
        <color theme="1"/>
        <rFont val="Calibri"/>
        <family val="2"/>
        <scheme val="minor"/>
      </rPr>
      <t xml:space="preserve">
Nicht immer sind die Verbrauchsmengen für genau ein Jahr angegeben. In diesem Fall könnt Ihr den Anfang und das Ende des Abrechnungszeitraums angeben. 
</t>
    </r>
    <r>
      <rPr>
        <b/>
        <sz val="11"/>
        <color theme="1"/>
        <rFont val="Calibri"/>
        <family val="2"/>
        <scheme val="minor"/>
      </rPr>
      <t>3. Zählerstände eintragen</t>
    </r>
    <r>
      <rPr>
        <sz val="11"/>
        <color theme="1"/>
        <rFont val="Calibri"/>
        <family val="2"/>
        <scheme val="minor"/>
      </rPr>
      <t xml:space="preserve">
Ihr könnt entweder den Zählerstand am Jahresanfang und am Jahresende eintragen, oder beim Zählerstand am Jahresanfang eine 0 eintragen und den Jahresstromverbrauch im Feld für das Jahresende eintragen.
</t>
    </r>
    <r>
      <rPr>
        <b/>
        <sz val="11"/>
        <color theme="1"/>
        <rFont val="Calibri"/>
        <family val="2"/>
        <scheme val="minor"/>
      </rPr>
      <t>4. CO</t>
    </r>
    <r>
      <rPr>
        <b/>
        <vertAlign val="subscript"/>
        <sz val="11"/>
        <color theme="1"/>
        <rFont val="Calibri"/>
        <family val="2"/>
        <scheme val="minor"/>
      </rPr>
      <t>2</t>
    </r>
    <r>
      <rPr>
        <b/>
        <sz val="11"/>
        <color theme="1"/>
        <rFont val="Calibri"/>
        <family val="2"/>
        <scheme val="minor"/>
      </rPr>
      <t>-Emissionen berechnen</t>
    </r>
    <r>
      <rPr>
        <sz val="11"/>
        <color theme="1"/>
        <rFont val="Calibri"/>
        <family val="2"/>
        <scheme val="minor"/>
      </rPr>
      <t xml:space="preserve">
Um die Gesamtemissionen zu berechnen, multiplizieren wir den Jahresstromverbrauch mit den Emissionsfaktoren pro kWh Strom für den deutschen Strommix. </t>
    </r>
  </si>
  <si>
    <r>
      <rPr>
        <b/>
        <sz val="11"/>
        <color theme="1"/>
        <rFont val="Calibri"/>
        <family val="2"/>
        <scheme val="minor"/>
      </rPr>
      <t>1. Verbrauchswerte beschaffen</t>
    </r>
    <r>
      <rPr>
        <sz val="11"/>
        <color theme="1"/>
        <rFont val="Calibri"/>
        <family val="2"/>
        <scheme val="minor"/>
      </rPr>
      <t xml:space="preserve">
Um die Emissionen für das Heizsystem der Schule zu berechnen, benötigen wir zunächst die Menge aller Energieträger die innerhalb eines Jahres an der Schule zum Heizen verfeuert wurden. Sowohl der Schulträger, als auch die Schulleiter oder der Hausmeister haben diese Informationen. 
</t>
    </r>
    <r>
      <rPr>
        <b/>
        <sz val="11"/>
        <color theme="1"/>
        <rFont val="Calibri"/>
        <family val="2"/>
        <scheme val="minor"/>
      </rPr>
      <t>2. Abrechnungszeitraum bestimmen</t>
    </r>
    <r>
      <rPr>
        <sz val="11"/>
        <color theme="1"/>
        <rFont val="Calibri"/>
        <family val="2"/>
        <scheme val="minor"/>
      </rPr>
      <t xml:space="preserve">
Sollten die Verbrauchsmengen nicht für genau ein Jahr sein, so könnt Ihr den Anfang und das Ende des Abrechnungszeitraums angeben. 
</t>
    </r>
    <r>
      <rPr>
        <b/>
        <sz val="11"/>
        <color theme="1"/>
        <rFont val="Calibri"/>
        <family val="2"/>
        <scheme val="minor"/>
      </rPr>
      <t>3. CO₂-Emissionen berechnen</t>
    </r>
    <r>
      <rPr>
        <sz val="11"/>
        <color theme="1"/>
        <rFont val="Calibri"/>
        <family val="2"/>
        <scheme val="minor"/>
      </rPr>
      <t xml:space="preserve">
Jeder Energieträger verursacht beim Transport in die Schule und bei der Verbrennung unterschiedlich hohe CO2-Emissionen. Wo die hier verwendeten Emissionswerte herkommen, ist im Tabellenblatt Allgemeines angegeben.
Um die Gesamtemissionen zu berechnen, multiplizieren wir die Menge der verbrannten Energieträger mit den Emissionsfaktoren der Energieträger.</t>
    </r>
  </si>
  <si>
    <r>
      <rPr>
        <b/>
        <sz val="11"/>
        <color theme="1"/>
        <rFont val="Calibri"/>
        <family val="2"/>
        <scheme val="minor"/>
      </rPr>
      <t>1. Jahresstromverbrauch beschaffen</t>
    </r>
    <r>
      <rPr>
        <sz val="11"/>
        <color theme="1"/>
        <rFont val="Calibri"/>
        <family val="2"/>
        <scheme val="minor"/>
      </rPr>
      <t xml:space="preserve">
Um die Emissionen für den Stromverbrauch der Schule zu berechnen, benötigen wir zunächst den Jahresstromverbrauch, also die Menge Strom in kWh die innerhalb eines Jahres an der Schule verbraucht wird. Den Jahresstromverbrauch erhaltet Ihr vom Schulträger, von der Schulleitung oder auch vom Hausmeister. 
</t>
    </r>
    <r>
      <rPr>
        <b/>
        <sz val="11"/>
        <color theme="1"/>
        <rFont val="Calibri"/>
        <family val="2"/>
        <scheme val="minor"/>
      </rPr>
      <t>2. Abrechnungszeitraum bestimmen</t>
    </r>
    <r>
      <rPr>
        <sz val="11"/>
        <color theme="1"/>
        <rFont val="Calibri"/>
        <family val="2"/>
        <scheme val="minor"/>
      </rPr>
      <t xml:space="preserve">
Nicht immer sind die Verbrauchsmengen für genau ein Jahr angegeben. In diesem Fall könnt Ihr den Anfang und das Ende des Abrechnungszeitraums angeben. 
</t>
    </r>
    <r>
      <rPr>
        <b/>
        <sz val="11"/>
        <color theme="1"/>
        <rFont val="Calibri"/>
        <family val="2"/>
        <scheme val="minor"/>
      </rPr>
      <t>3. CO</t>
    </r>
    <r>
      <rPr>
        <b/>
        <vertAlign val="subscript"/>
        <sz val="11"/>
        <color theme="1"/>
        <rFont val="Calibri"/>
        <family val="2"/>
        <scheme val="minor"/>
      </rPr>
      <t>2</t>
    </r>
    <r>
      <rPr>
        <b/>
        <sz val="11"/>
        <color theme="1"/>
        <rFont val="Calibri"/>
        <family val="2"/>
        <scheme val="minor"/>
      </rPr>
      <t>-Emissionen berechnen</t>
    </r>
    <r>
      <rPr>
        <sz val="11"/>
        <color theme="1"/>
        <rFont val="Calibri"/>
        <family val="2"/>
        <scheme val="minor"/>
      </rPr>
      <t xml:space="preserve">
Um die Gesamtemissionen zu berechnen, multiplizieren wir den Jahresstromverbrauch mit den Emissionsfaktoren pro kWh Strom für den deutschen Strommix.</t>
    </r>
  </si>
  <si>
    <r>
      <t xml:space="preserve">Mithilfe dieses kleinen PV-Rechners kann die Größe einer bestehenden PV-Anlage abgeschätzt werden und die Jahresstromerzeugung abgeschätzt werden.
</t>
    </r>
    <r>
      <rPr>
        <b/>
        <sz val="11"/>
        <color theme="1"/>
        <rFont val="Calibri"/>
        <family val="2"/>
        <scheme val="minor"/>
      </rPr>
      <t>Eingabe der Peak-Leistung oder der Anlagenfläche</t>
    </r>
    <r>
      <rPr>
        <sz val="11"/>
        <color theme="1"/>
        <rFont val="Calibri"/>
        <family val="2"/>
        <scheme val="minor"/>
      </rPr>
      <t xml:space="preserve">
Wenn Ihr die maximale Leistung (Nennleistung) der PV-Anlage kennt, könnt Ihr diese direkt eintragen. Kennt Ihr die Nennleistung nicht, so könnt Ihr die Leistung auch über die Fläche der Anlage abschätzen. 
</t>
    </r>
    <r>
      <rPr>
        <b/>
        <sz val="11"/>
        <color theme="1"/>
        <rFont val="Calibri"/>
        <family val="2"/>
        <scheme val="minor"/>
      </rPr>
      <t>Eingabe der Ausrichtung und Neigung</t>
    </r>
    <r>
      <rPr>
        <sz val="11"/>
        <color theme="1"/>
        <rFont val="Calibri"/>
        <family val="2"/>
        <scheme val="minor"/>
      </rPr>
      <t xml:space="preserve">
Die produzierte Strommenge ist abhängig von der Ausrichtung der PV-Anlage (Himmelsrichtung) und von der Neigung. Die höchsten Erträge werden mit einer Ausrichtung Richtung Süden und einem Neigungswinkel von ca. 30° erzielt. Wenn keine Werte eingetragen werden, dann wird der Jahresertrag mit einer Ausrichtung Richtung Süden und 45° Neigung abgeschätzt.
Bei Bedarf könnt Ihr eine zweite Dachfläche, bzw. zweite PV-Anlage eintragen (Dachfläche 2)
</t>
    </r>
    <r>
      <rPr>
        <b/>
        <sz val="11"/>
        <color theme="1"/>
        <rFont val="Calibri"/>
        <family val="2"/>
        <scheme val="minor"/>
      </rPr>
      <t>Standort der PV-Anlage</t>
    </r>
    <r>
      <rPr>
        <sz val="11"/>
        <color theme="1"/>
        <rFont val="Calibri"/>
        <family val="2"/>
        <scheme val="minor"/>
      </rPr>
      <t xml:space="preserve">
Nicht in jeder Stadt und in jedem Bundesland scheint im Jahresmittel gleich oft die Sonne. Mithilfe der Postleitzahl könnt Ihr die Jahresproduktion pro kWh Nennkapazität abschätzen.</t>
    </r>
  </si>
  <si>
    <t>Sich unter einem Google-Konto anmelden oder ein Google-Konto erstellen.</t>
  </si>
  <si>
    <r>
      <rPr>
        <b/>
        <sz val="11"/>
        <color theme="1"/>
        <rFont val="Calibri"/>
        <family val="2"/>
        <scheme val="minor"/>
      </rPr>
      <t>2. Treibhausgasemissionen für einzelne Gerichte berechnen</t>
    </r>
    <r>
      <rPr>
        <sz val="11"/>
        <color theme="1"/>
        <rFont val="Calibri"/>
        <family val="2"/>
        <scheme val="minor"/>
      </rPr>
      <t xml:space="preserve">
Anschließend könnt Ihr mit dem CO₂-Rechner Treibhausgasemissionen für die einzelnen Gerichte berechnen. Wählt die Zutaten mithilfe der Auswahlmenüs aus und gebt an, ob es sich um regionale Erzeugnisse handelt. Neben den Berechnungstabellen wird jeweils in einem Kreisdiagramm angezeigt, wie sich die Treibhausgasemissionen aus den einzelnen Zutaten zusammensetzen. </t>
    </r>
  </si>
  <si>
    <t xml:space="preserve">Eingabe Wasserverbrauch in Kubikmeter </t>
  </si>
  <si>
    <t>Ende Abrechnungszeitraum</t>
  </si>
  <si>
    <t>Für die Berechnung der Verkehrsemissionen sind die folgenden Annahmen hinterlegt. Diese Werte sollten nicht überschrieben werden, weil nur so ein Vergleich der Emissionen zwischen den Schulen möglich ist:</t>
  </si>
  <si>
    <t>Bei Verteilung anhand von Personenzahl</t>
  </si>
  <si>
    <t>Berechnungsfelder</t>
  </si>
  <si>
    <t xml:space="preserve">Die gelb markierten Felder mit schwarzem Rahmen sind einfache Eingabefelder.
Die gelb markierten Felder mit blauem Rahmen sind Auswahlfelder. Sobald das Feld ausgewählt wird, erscheint ein Auswahlmenü.
Optionale Eingabefelder sind grau-gelb schraffiert. Diese Felder erscheinen meist dann, wenn vorgegebene Parameter überschrieben werden können. 
Weiße und graue Felder sind Berechnungs- und Ergebnisfelder. </t>
  </si>
  <si>
    <t>Länge des Abrechnungszeitraums</t>
  </si>
  <si>
    <t>Faktor</t>
  </si>
  <si>
    <t>Final Faktor</t>
  </si>
  <si>
    <t>Berechnung des PV-Potentials anhand der Dachflächen</t>
  </si>
  <si>
    <t xml:space="preserve">Hier seht Ihr, wie ein fertiger Fragebogen mithilfe von Google Formularen aussehen kann. </t>
  </si>
  <si>
    <t>Die 10 Fragen und Antwortmöglichkeiten reinkopieren und jeweils die Antwortformate auswählen (Freitext oder Multiple Choice)</t>
  </si>
  <si>
    <t>Das Design des Fragebogens anpassen (auf dem Paletten-Symbol ganz oben)</t>
  </si>
  <si>
    <t>Ab hier die Tabelle aus dem Online-Fragebogen hineinkopieren:</t>
  </si>
  <si>
    <t>Anzahl 
Personen</t>
  </si>
  <si>
    <t>Weitere Infos (z.B. Klasse und Initialen)</t>
  </si>
  <si>
    <t xml:space="preserve">Um die Treibhausgasemissionen zu berechnen die durch den Essensverkauf an eurer Schulküche, Kantine oder Mensa entstehen, empfehlen wir 
die verkauften Essen für einen typischen Tag oder eine typische Woche zu untersuchen und die Ergebnisse anschließend hochzurechnen. </t>
  </si>
  <si>
    <t>Wie viele Jahre werden die Bücher in der Regel genutzt, …</t>
  </si>
  <si>
    <t>Eingabefelder für eigene Werte</t>
  </si>
  <si>
    <t>Anleitung Schulwege</t>
  </si>
  <si>
    <t>Daten Schulwege</t>
  </si>
  <si>
    <t>Mittelschule</t>
  </si>
  <si>
    <t>Berufsschule</t>
  </si>
  <si>
    <t>1. Beispiel für einen Fragebogen mithilfe von Google Formularen</t>
  </si>
  <si>
    <t>3. Fragen zur Erstellung einer Mobilitätsumfrage</t>
  </si>
  <si>
    <t>2. Anleitung zur Erstellung einer Mobilitätsbefragung mithilfe von Google Formularen</t>
  </si>
  <si>
    <r>
      <t>Im Rahmen des Projektes KlimaRat Schule machen wir (</t>
    </r>
    <r>
      <rPr>
        <sz val="11"/>
        <color rgb="FFFF0000"/>
        <rFont val="Calibri"/>
        <family val="2"/>
        <scheme val="minor"/>
      </rPr>
      <t>Klasse/AG eintragen</t>
    </r>
    <r>
      <rPr>
        <sz val="11"/>
        <color theme="1"/>
        <rFont val="Calibri"/>
        <family val="2"/>
        <scheme val="minor"/>
      </rPr>
      <t>) eine Mobilitätsbefragung um die CO₂-Bilanz der Schule zur ermitteln. 
Wir bitten um Ihre / deine Unterstützung durch Ausfüllen des Fragebogens, entweder auf Papier oder online. (Dauer: 2-3 Minuten)</t>
    </r>
  </si>
  <si>
    <r>
      <t xml:space="preserve">Mobilitätsbefragung an der </t>
    </r>
    <r>
      <rPr>
        <sz val="11"/>
        <color rgb="FFFF0000"/>
        <rFont val="Calibri"/>
        <family val="2"/>
        <scheme val="minor"/>
      </rPr>
      <t>(Schulname ergänzen)</t>
    </r>
  </si>
  <si>
    <t xml:space="preserve">Alle weiteren Fragen sind optional und werden nicht für die CO2-Bilanz benötigt. Sie können jedoch bei der Interpretation der Ergebnisse und die Planung von Maßnahmen hilfreich sein.  </t>
  </si>
  <si>
    <t>Anleitung zur Mobilitätsbefragung</t>
  </si>
  <si>
    <t>Daten der Mobilitätsbefragung Schulweg</t>
  </si>
  <si>
    <t>Mobilitätsbefragung Schulwege</t>
  </si>
  <si>
    <t>Klassenfahrten (Gruppenreisen)</t>
  </si>
  <si>
    <t>Schüleraustausch (Einzelpersonen)</t>
  </si>
  <si>
    <r>
      <rPr>
        <b/>
        <sz val="11"/>
        <color theme="1"/>
        <rFont val="Calibri"/>
        <family val="2"/>
        <scheme val="minor"/>
      </rPr>
      <t>CO₂-Emissionen von Schüleraustauschen</t>
    </r>
    <r>
      <rPr>
        <sz val="11"/>
        <color theme="1"/>
        <rFont val="Calibri"/>
        <family val="2"/>
        <scheme val="minor"/>
      </rPr>
      <t xml:space="preserve">
In diesem Bereich können individuelle Reisen einzelner Personen eingetragen werden. 
Bei Reisen mit Bus, Zug, Auto und auch für innerdeutsche Flüge könnt Ihr einfach das (Haupt-) Verkehrsmittel auswählen und die einfache Strecke eintragen. Gruppenreisen können im Tabellenblatt Klassenfahrten eingetragen werden.
</t>
    </r>
    <r>
      <rPr>
        <b/>
        <sz val="11"/>
        <color theme="1"/>
        <rFont val="Calibri"/>
        <family val="2"/>
        <scheme val="minor"/>
      </rPr>
      <t>🛫 Internationale Flüge</t>
    </r>
    <r>
      <rPr>
        <sz val="11"/>
        <color theme="1"/>
        <rFont val="Calibri"/>
        <family val="2"/>
        <scheme val="minor"/>
      </rPr>
      <t xml:space="preserve">
Für internationale Flüge gibt es jedoch keinen einheitlichen Emissionsfaktor. Daher solltet Ihr die Emissionen für internationale Flüge im Internet nachschauen. Hierfür empfehlen wir den Kompensationsrechner auf der Webseite atmosfair.de. Den Link findet Ihr weiter unten. Sofern beide Strecken mit den Flugzeug zurückgelegt wurden, müsst Ihr die Emissionen für Hin- und Rückweg eintragen. 
</t>
    </r>
  </si>
  <si>
    <t>Anzahl Teilnehmer:innen</t>
  </si>
  <si>
    <t>Schulweg Schüler:innen</t>
  </si>
  <si>
    <t>Schulweg Lehrer:innen</t>
  </si>
  <si>
    <t>Zusammenfassung Emissionen Mobilität</t>
  </si>
  <si>
    <t>Schule ABC</t>
  </si>
  <si>
    <t>Chili sin Carne</t>
  </si>
  <si>
    <t>Experten-Einstellungen für Schulzentren</t>
  </si>
  <si>
    <t>Eingabe im Tabellenblatt Allgemeines</t>
  </si>
  <si>
    <r>
      <rPr>
        <b/>
        <u/>
        <sz val="11"/>
        <color theme="10"/>
        <rFont val="Calibri"/>
        <family val="2"/>
        <scheme val="minor"/>
      </rPr>
      <t>Quelle für Emissionsfaktoren:</t>
    </r>
    <r>
      <rPr>
        <u/>
        <sz val="11"/>
        <color theme="10"/>
        <rFont val="Calibri"/>
        <family val="2"/>
        <scheme val="minor"/>
      </rPr>
      <t xml:space="preserve">
Die in diesem Tabellenblatt hinterlegten Emissionsfaktoren wurden aus der Studie "Ökologischer Fußabdruck von Lebensmitteln und Gerichten in Deutschland" des ifeu-Instituts übernommen.</t>
    </r>
  </si>
  <si>
    <t>Emissionsfaktoren Mobilität</t>
  </si>
  <si>
    <t>Emissionsfaktor für Strommix mit Vorkette</t>
  </si>
  <si>
    <t>Strom (inkl. PV)</t>
  </si>
  <si>
    <t>Dieses Berechnungstool basiert auf dem CO₂-Rechner für Schulen des Schools4Future Projektes und wurde im Rahmen des Projekts KlimaRatSchule weiterentwickelt. 
KlimaRatSchule ist ein von der Nationalen Klimaschutzinitiative gefördertes Projekt von Solare Zukunft e.V., Institut für Zukunftsstudien und Technologiebewertung (IZT), Energie- und Umweltzentrum am Deister e.V. und Green City e.V.. (www.klimaratschule.de )</t>
  </si>
  <si>
    <t>Die ersten 4 Fragen sollten als Pflichtantworten markiert werden.</t>
  </si>
  <si>
    <t>* als Pflichtfrage markieren</t>
  </si>
  <si>
    <t>Umrechnungsfaktor für kWh</t>
  </si>
  <si>
    <t>Verbrauch in kWh</t>
  </si>
  <si>
    <t>Rundung:</t>
  </si>
  <si>
    <t>Energienutzfläche</t>
  </si>
  <si>
    <t>Schule</t>
  </si>
  <si>
    <t>Turnhalle</t>
  </si>
  <si>
    <t>Einordnung des Heizenergiebedarfs:</t>
  </si>
  <si>
    <t>Heizenergiebedarf pro m2</t>
  </si>
  <si>
    <t>#.##0 "m² ³"</t>
  </si>
  <si>
    <t>GrenzwertHeizenergieverbrauchMittel</t>
  </si>
  <si>
    <t>GrenzwertHeizenergieverbrauchNiedrig</t>
  </si>
  <si>
    <t>GrenzwertHeizenergieverbrauchHoch</t>
  </si>
  <si>
    <t>hoch</t>
  </si>
  <si>
    <t>niedrig</t>
  </si>
  <si>
    <t>mittel</t>
  </si>
  <si>
    <t>Vergleichswerte</t>
  </si>
  <si>
    <t>Klasse A</t>
  </si>
  <si>
    <t>Klasse B</t>
  </si>
  <si>
    <t>Klasse C</t>
  </si>
  <si>
    <t>Klasse D</t>
  </si>
  <si>
    <t>Klasse E</t>
  </si>
  <si>
    <t>Klasse F</t>
  </si>
  <si>
    <t>Klasse G</t>
  </si>
  <si>
    <t>GrenzwertStromverbrauchNiedrig</t>
  </si>
  <si>
    <t>GrenzwertStromverbrauchHoch</t>
  </si>
  <si>
    <t>Einordnung des Stromverbrauchs pro Schüler:in:</t>
  </si>
  <si>
    <t>zur Gesamtbilanz ==&gt;</t>
  </si>
  <si>
    <t>Öko-Insitut (S.55), aber nur 50% da einfachere Bauart</t>
  </si>
  <si>
    <t>Schätzwert basierend auf Bürostuhl (*50%)</t>
  </si>
  <si>
    <t>Schreibtisch/Arbeitsplatz</t>
  </si>
  <si>
    <t>Übersicht Ernährung:</t>
  </si>
  <si>
    <t xml:space="preserve">In diesem Bereich können die Emissionen von kleinen Snacks wie Brötchen und Riegeln erfasst werden. Wählt zunächst aus, ob ihr die Menge pro Schuljahr, pro Woche oder pro Schultag erfassen wollt.  </t>
  </si>
  <si>
    <t>Snack 1</t>
  </si>
  <si>
    <t>Brezel/Laugenstange</t>
  </si>
  <si>
    <t>Butter-Bretzel/Laugenstange</t>
  </si>
  <si>
    <t>Käsebrötchen</t>
  </si>
  <si>
    <t>Tomaten-Mozzarella-Brötchen</t>
  </si>
  <si>
    <t>Wurstbrötchen</t>
  </si>
  <si>
    <t>Schnitzelbrötchen</t>
  </si>
  <si>
    <t>Leberkäs-Brötchen</t>
  </si>
  <si>
    <t>Pizza-Stücke</t>
  </si>
  <si>
    <t>Schokocroissant</t>
  </si>
  <si>
    <t>Süßes Gebäck</t>
  </si>
  <si>
    <t>Schokoriegel</t>
  </si>
  <si>
    <t>Sonstiges</t>
  </si>
  <si>
    <t>Schoki (0,5 Liter)</t>
  </si>
  <si>
    <t>Milch (0,5 Liter)</t>
  </si>
  <si>
    <t>Limonade (0,5 Liter)</t>
  </si>
  <si>
    <t>Saft/Saftschorle (0,5 Liter)</t>
  </si>
  <si>
    <t>Quelle für CO₂-Emissionen</t>
  </si>
  <si>
    <t>Milch</t>
  </si>
  <si>
    <t xml:space="preserve">●● Brötchen </t>
  </si>
  <si>
    <t>●● Süße Snacks</t>
  </si>
  <si>
    <t>●● Getränke</t>
  </si>
  <si>
    <t>Snack</t>
  </si>
  <si>
    <r>
      <t>Emissionen in g CO</t>
    </r>
    <r>
      <rPr>
        <b/>
        <vertAlign val="subscript"/>
        <sz val="11"/>
        <color theme="0"/>
        <rFont val="Calibri"/>
        <family val="2"/>
        <scheme val="minor"/>
      </rPr>
      <t xml:space="preserve">2e </t>
    </r>
    <r>
      <rPr>
        <b/>
        <sz val="11"/>
        <color theme="0"/>
        <rFont val="Calibri"/>
        <family val="2"/>
        <scheme val="minor"/>
      </rPr>
      <t>pro Einheit</t>
    </r>
  </si>
  <si>
    <t>https://www.ifeu.de/projekt/oekologischer-fussabdruck-von-lebensmitteln-und-gerichten-in-deutschland/</t>
  </si>
  <si>
    <t>Abgeleitet aus ifeu-Studie</t>
  </si>
  <si>
    <t>Annahme 85g</t>
  </si>
  <si>
    <t>mit 20g Butter</t>
  </si>
  <si>
    <t>mit 30g Käse</t>
  </si>
  <si>
    <t>mit 30g Wurst</t>
  </si>
  <si>
    <t>mit 80g Schnitzel</t>
  </si>
  <si>
    <t>mit 100g Leberkäse</t>
  </si>
  <si>
    <t>Berechnet mit ifeu-Zutatenliste</t>
  </si>
  <si>
    <t>mit 60g Brötchen und 15g Butter</t>
  </si>
  <si>
    <t>Pauschalwert</t>
  </si>
  <si>
    <t>Durchschnittswert</t>
  </si>
  <si>
    <t>Platzhalter 1</t>
  </si>
  <si>
    <t>●● Platzhalter für weitere Snacks</t>
  </si>
  <si>
    <t>Platzhalter 2</t>
  </si>
  <si>
    <t>Platzhalter 3</t>
  </si>
  <si>
    <t>Name des Snacks</t>
  </si>
  <si>
    <t>Emissionen in gCO₂ pro Portion</t>
  </si>
  <si>
    <t>Anzahl Portionen</t>
  </si>
  <si>
    <t>Snack 2</t>
  </si>
  <si>
    <t>Snack 3</t>
  </si>
  <si>
    <t>Snack 4</t>
  </si>
  <si>
    <t>Snack 5</t>
  </si>
  <si>
    <t>Snack 6</t>
  </si>
  <si>
    <t>Snack 7</t>
  </si>
  <si>
    <t>Snack 8</t>
  </si>
  <si>
    <t>Snack 9</t>
  </si>
  <si>
    <t>Snack 10</t>
  </si>
  <si>
    <t>Zeitraum Ernährung</t>
  </si>
  <si>
    <t>Hochrechnung auf 1 Jahr:</t>
  </si>
  <si>
    <t>Emissionen pro Jahr:</t>
  </si>
  <si>
    <t>pro Jahr</t>
  </si>
  <si>
    <r>
      <t>Gesamte Emissionen 
in kg CO</t>
    </r>
    <r>
      <rPr>
        <b/>
        <vertAlign val="subscript"/>
        <sz val="11"/>
        <color theme="1"/>
        <rFont val="Calibri"/>
        <family val="2"/>
        <scheme val="minor"/>
      </rPr>
      <t>2äq</t>
    </r>
  </si>
  <si>
    <t xml:space="preserve">Ein nicht unerheblicher Anteil der Lebensmittel an deutschen Schulküchen landen direkt oder indirekt im Müll. In diesem Abschnitt können die Lebensmittelabfälle der Schulküche erfasst werden. Die hier eingegebenen Daten werden nicht für die CO₂-Bilaz verwendet. </t>
  </si>
  <si>
    <r>
      <rPr>
        <b/>
        <sz val="11"/>
        <color theme="1"/>
        <rFont val="Calibri"/>
        <family val="2"/>
        <scheme val="minor"/>
      </rPr>
      <t>4. Eingabebereich für Snacks /Kiosk-Verkauf</t>
    </r>
    <r>
      <rPr>
        <sz val="11"/>
        <color theme="1"/>
        <rFont val="Calibri"/>
        <family val="2"/>
        <scheme val="minor"/>
      </rPr>
      <t xml:space="preserve">
Die Emissionen von kleinen Snacks wie Brötchen und Riegeln können im Bereich „4. Erfassung von verkauften Snacks“ berechnet werden. </t>
    </r>
  </si>
  <si>
    <r>
      <rPr>
        <b/>
        <sz val="11"/>
        <color theme="1"/>
        <rFont val="Calibri"/>
        <family val="2"/>
        <scheme val="minor"/>
      </rPr>
      <t>CO₂-Emissionen von Klassenfahrten</t>
    </r>
    <r>
      <rPr>
        <sz val="11"/>
        <color theme="1"/>
        <rFont val="Calibri"/>
        <family val="2"/>
        <scheme val="minor"/>
      </rPr>
      <t xml:space="preserve">
Zur Berechnung der CO₂-Emissionen durch Klassenfahrten könnt Ihr untenstehende Tabelle benutzen. Dabei solltet Ihr vor allem versuchen die langen Reisen und mögliche Flugreisen genau zu bestimmen. Kurze Klassenfahrten mit den Öffentlichen Personennahverkehr (ÖPNV) werden vermutlich kaum ins Gewicht fallen.
In dieser Tabelle können Gruppenreisen erfasst werden. 
Eine Erklärung der Berechnungsmethode findet Ihr ganz unten auf diesem Tabellenblatt</t>
    </r>
  </si>
  <si>
    <r>
      <rPr>
        <b/>
        <sz val="11"/>
        <color theme="1"/>
        <rFont val="Calibri"/>
        <family val="2"/>
        <scheme val="minor"/>
      </rPr>
      <t>Hinweis zur Berechnungsmethode</t>
    </r>
    <r>
      <rPr>
        <sz val="11"/>
        <color theme="1"/>
        <rFont val="Calibri"/>
        <family val="2"/>
        <scheme val="minor"/>
      </rPr>
      <t xml:space="preserve">
Bei Reisen mit dem ÖPNV, der Bahn und dem Flugzeug werden die gefahrenen Kilometer mit der Teilnehmerzahl und anschließend mit dem jeweiligen Emissionsfaktor multipliziert.
Bei Klassenfahrten mit dem Auto und dem Reisebus wird zunächst berechnet, wie viele Fahrzeuge für den Transport notwendig sind. Hierbei wird von einer maximalen Belegung von 4 Personen beim Auto und 40 Personen beim Reisebus ausgegangen. Die Anzahlt der Fahrzeuge wird anschließend mit der Wegstrecke und dem Emissionsfaktor des jeweiligen Fahrzeuges multipliziert. </t>
    </r>
  </si>
  <si>
    <t>relativ hoch</t>
  </si>
  <si>
    <t>sehr hoch</t>
  </si>
  <si>
    <r>
      <t xml:space="preserve">Das Berechnungstool basiert auf dem CO₂-Rechner für Schulen von Schools4Future. Schools4Future ist ein vom Bundesministerium für Wirtschaft und Klimaschutz gefördertes Kooperationsprojekt, das vom </t>
    </r>
    <r>
      <rPr>
        <b/>
        <sz val="11"/>
        <color theme="1"/>
        <rFont val="Calibri"/>
        <family val="2"/>
        <scheme val="minor"/>
      </rPr>
      <t>Wuppertal Institut</t>
    </r>
    <r>
      <rPr>
        <sz val="11"/>
        <color theme="1"/>
        <rFont val="Calibri"/>
        <family val="2"/>
        <scheme val="minor"/>
      </rPr>
      <t xml:space="preserve"> und von </t>
    </r>
    <r>
      <rPr>
        <b/>
        <sz val="11"/>
        <color theme="1"/>
        <rFont val="Calibri"/>
        <family val="2"/>
        <scheme val="minor"/>
      </rPr>
      <t>Büro Ö-quadrat</t>
    </r>
    <r>
      <rPr>
        <sz val="11"/>
        <color theme="1"/>
        <rFont val="Calibri"/>
        <family val="2"/>
        <scheme val="minor"/>
      </rPr>
      <t xml:space="preserve"> zwischen Mai 2020 und Juni 2023 durchgeführt wird.</t>
    </r>
  </si>
  <si>
    <r>
      <t>Die erste Version dieses Excel-Tools zur Erstellung der CO₂-Bilanz an Schulen ist im Rahmen des Projektes Schools4Future in Kooperation zwischen dem Wuppertal Institut gGmbH und Büro Ö-quadrat GmbH entwickelt worden (</t>
    </r>
    <r>
      <rPr>
        <b/>
        <sz val="11"/>
        <color theme="1"/>
        <rFont val="Calibri"/>
        <family val="2"/>
        <scheme val="minor"/>
      </rPr>
      <t>Bestandswerk</t>
    </r>
    <r>
      <rPr>
        <sz val="11"/>
        <color theme="1"/>
        <rFont val="Calibri"/>
        <family val="2"/>
        <scheme val="minor"/>
      </rPr>
      <t>). Das Projekt wurde vom Bundesministerium für Wirtschaft und Klimaschutz (BMWK) gefördert.
Die hier vorliegende Version des CO₂-Rechners wurde für das Projekt KlimaRat Schule durch Büro Ö-quadrat angepasst und weiterentwickelt. KlimaRatSchule wird von der nationalen Klimaschutzinitiative gefördert.
Dieses Tool ist zur nicht kommerzielle Nutzung und Verbreitung freigegeben.
Das Copyright für alle Inhalte obliegt der Büro Ö-quadrat GmbH.</t>
    </r>
  </si>
  <si>
    <t>Berechnung Ja/Nein</t>
  </si>
  <si>
    <t>Eine Einordnung ist nicht möglich, da entweder keine Nutzfläche oder keine Energieträger angegeben wurden.</t>
  </si>
  <si>
    <t>Die Nutzfläche kann im Tabellenblatt Allgemeines angegeben werden.</t>
  </si>
  <si>
    <t>GrenzwertPV_Anlage</t>
  </si>
  <si>
    <t>GrenzwertNotebooks</t>
  </si>
  <si>
    <t>GrenzwertTablets</t>
  </si>
  <si>
    <t>GrenzwertBuecher</t>
  </si>
  <si>
    <r>
      <rPr>
        <b/>
        <sz val="11"/>
        <color theme="1"/>
        <rFont val="Calibri"/>
        <family val="2"/>
        <scheme val="minor"/>
      </rPr>
      <t>Auswertung der Umfrageergebnisse</t>
    </r>
    <r>
      <rPr>
        <sz val="11"/>
        <color theme="1"/>
        <rFont val="Calibri"/>
        <family val="2"/>
        <scheme val="minor"/>
      </rPr>
      <t xml:space="preserve">
Wenn Ihr mit dem Online-Rechner arbeitet, kann das KlimaRatSchule Projektteam die Ergebnisse der Mobilitätsbefragung für Euch in den CO₂-Rechner kopieren. Wenn Ihr mit dem Excel CO₂-Rechner arbeitet, bekommt Ihr die Ergebnisse als Tabelle zugeschickt und könnt sie selber in das Tabellenblatt „Daten Schulwege“ übertragen. </t>
    </r>
  </si>
  <si>
    <r>
      <rPr>
        <b/>
        <sz val="11"/>
        <color theme="1"/>
        <rFont val="Calibri"/>
        <family val="2"/>
        <scheme val="minor"/>
      </rPr>
      <t>Ergebnisse der Mobilitätsbefragung</t>
    </r>
    <r>
      <rPr>
        <sz val="11"/>
        <color theme="1"/>
        <rFont val="Calibri"/>
        <family val="2"/>
        <scheme val="minor"/>
      </rPr>
      <t xml:space="preserve">
Im Tabellenblatt Ergebnisse Verkehr findet Ihr die Ergebnisse der Verkehrsumfrage und die Berechnungen zur CO₂-Bilanz (Teil Schulweg)"</t>
    </r>
  </si>
  <si>
    <r>
      <rPr>
        <b/>
        <sz val="11"/>
        <color theme="1"/>
        <rFont val="Calibri"/>
        <family val="2"/>
        <scheme val="minor"/>
      </rPr>
      <t>Erstellung einer eigenen Mobilitätsbefragung</t>
    </r>
    <r>
      <rPr>
        <sz val="11"/>
        <color theme="1"/>
        <rFont val="Calibri"/>
        <family val="2"/>
        <scheme val="minor"/>
      </rPr>
      <t xml:space="preserve">
Alternativ könnt Ihr auch mit Google Formulare selber eine Mobilitätsbefragung erstellen, die aber möglicherweise nicht in der EU gehostet ist und mehr Arbeit für Euch bedeutet. 
Weiter unten findet Ihr eine Anleitung zur Erstellung einer Umfrage mit Google Formulare. Dafür haben wir bereits Fragen und Antwortmöglichkeiten ausformuliert, die Ihr für das Google Formular verwenden könnt. Kopiert die Fragen und Antworten möglichst ganz genau, da sonst Fehler in der Auswertung mithilfe der vorprogrammierten Formeln passieren können. </t>
    </r>
  </si>
  <si>
    <t>CO₂-Rechner Kiosk / Snacks</t>
  </si>
  <si>
    <t>Beispieldaten</t>
  </si>
  <si>
    <t>Beispiel Klassenfahrt England 9c</t>
  </si>
  <si>
    <t>Beispiel Klassenfahrt Berlin 10a</t>
  </si>
  <si>
    <t>Beispiel Landschulheim 10b</t>
  </si>
  <si>
    <t>Beispiel Schüleraustausch USA 1</t>
  </si>
  <si>
    <t>Beispiel Schüleraustausch USA 2</t>
  </si>
  <si>
    <t>Beispiel Austausch Frankreich 1</t>
  </si>
  <si>
    <t>Beispiel Austausch  Frankreich 2</t>
  </si>
  <si>
    <t>Schulwege Schüler:innen</t>
  </si>
  <si>
    <t>Schulwege Lehrer:innen</t>
  </si>
  <si>
    <r>
      <rPr>
        <b/>
        <sz val="11"/>
        <color theme="1"/>
        <rFont val="Calibri"/>
        <family val="2"/>
        <scheme val="minor"/>
      </rPr>
      <t>Durchführung der Mobilitätsbefragung</t>
    </r>
    <r>
      <rPr>
        <sz val="11"/>
        <color theme="1"/>
        <rFont val="Calibri"/>
        <family val="2"/>
        <scheme val="minor"/>
      </rPr>
      <t xml:space="preserve">
Den Link und QR-Code könnt Ihr an Eurer Schule verteilen. Je mehr Teilnehmer:innen an der Mobilitätsbefragung teilnehmen, desto genauer wird das Ergebnis. Vielleicht könnt Ihr Zettel mit dem QR-Code an die Klassenlehrer:innen verteilen oder den Link zur Online-Befragung über Euren Schulverteiler an alle Schüler:innen und Lehrer:innen schicken. Was am besten funktioniert, ist an jeder Schule unterschiedlich. Besprecht dies doch einfach mal mit der Klasse oder AG."        </t>
    </r>
  </si>
  <si>
    <t>Frage für Schüler:innen: In welche Klasse gehst Du?</t>
  </si>
  <si>
    <t>Frage für Schüler:innen: Wie alt bist du?</t>
  </si>
  <si>
    <t>1. Um die CO₂-Emissionen abzuschätzen, benötigen wir zunächst Informationen darüber, wie Schüler:innen und Lehrer:innen zur Schule kommen. Hierzu haben wir weiter unten Inhalte für eine Mobilitätsbefragung vorbereitet, die ihr für eure Schule zusammenkopieren könnt.
2. Verschickt den Link der Verkehrsumfrage an alle Schüler:innen und Lehrer:innen oder druckt einen QR-Code mit einer kurzen Beschreibung aus und hängt ihn in der Schule auf. Vorlagen findet ihr unten. 
3. Sobald genug Personen an der Umfrage teilgenommen haben, könnt die Ergebnisse in nebenstehende Tabelle kopieren. 
4. Im Ergebnisbereich erscheinen anschließend die Berechnungen zur CO₂-Bilanz (Teil Schulweg)
5. Natürlich könnt ihr auch eine Umfrage auf Papier machen oder durch die Klassenzimmer gehen. Dann tragt ihr unten einfach die Ergebnisse ein.</t>
  </si>
  <si>
    <r>
      <t>Berechnung der CO</t>
    </r>
    <r>
      <rPr>
        <b/>
        <vertAlign val="subscript"/>
        <sz val="13"/>
        <color theme="3"/>
        <rFont val="Calibri"/>
        <family val="2"/>
        <scheme val="minor"/>
      </rPr>
      <t>2</t>
    </r>
    <r>
      <rPr>
        <b/>
        <sz val="13"/>
        <color theme="3"/>
        <rFont val="Calibri"/>
        <family val="2"/>
        <scheme val="minor"/>
      </rPr>
      <t>-Emissionen für den Schulweg der Schüler:innen</t>
    </r>
  </si>
  <si>
    <t>Verkehrsmittelwahl (Modal Split) der Schüler:innen im Jahresmittel</t>
  </si>
  <si>
    <t>Verkehrsmittelwahl (Modal Split) der Schüler:innen (Frühjahr bis Herbst)</t>
  </si>
  <si>
    <t>Verkehrsmittelwahl (Modal Split) der Schüler:innen im Winter</t>
  </si>
  <si>
    <t>Zurückgelegte Wegstrecke nach Verkehrsmittel für Schüler:innen</t>
  </si>
  <si>
    <t>Emissionen nach Verkehrsmitteln für Schüler:innen</t>
  </si>
  <si>
    <r>
      <t>Um die CO</t>
    </r>
    <r>
      <rPr>
        <vertAlign val="subscript"/>
        <sz val="11"/>
        <color theme="1"/>
        <rFont val="Calibri"/>
        <family val="2"/>
        <scheme val="minor"/>
      </rPr>
      <t>2</t>
    </r>
    <r>
      <rPr>
        <sz val="11"/>
        <color theme="1"/>
        <rFont val="Calibri"/>
        <family val="2"/>
        <scheme val="minor"/>
      </rPr>
      <t>-Emissionen des Schulweges aller Lehrer:innen zu erhalten, multiplizieren wir weiter unten die Umfrageergebnisse mit dem Hochrechnungsfaktor.</t>
    </r>
  </si>
  <si>
    <r>
      <t>Berechnung der CO</t>
    </r>
    <r>
      <rPr>
        <b/>
        <vertAlign val="subscript"/>
        <sz val="13"/>
        <color theme="3"/>
        <rFont val="Calibri"/>
        <family val="2"/>
        <scheme val="minor"/>
      </rPr>
      <t>2</t>
    </r>
    <r>
      <rPr>
        <b/>
        <sz val="13"/>
        <color theme="3"/>
        <rFont val="Calibri"/>
        <family val="2"/>
        <scheme val="minor"/>
      </rPr>
      <t>-Emissionen für den Schulweg der Lehrer:innen</t>
    </r>
  </si>
  <si>
    <t>Grafische Auswertung Schulweg Lehrer:innen</t>
  </si>
  <si>
    <t>Im folgenden Bereich werden die Ergebnisse für den Schulweg der Lehrer:innen in Diagrammen dargestellt.</t>
  </si>
  <si>
    <t xml:space="preserve">Verkehrsmittelwahl (Modal Split) der Lehrer:innen </t>
  </si>
  <si>
    <t>Verkehrsmittelwahl (Modal Split) der Lehrer:innen im Jahresmittel</t>
  </si>
  <si>
    <t>Verkehrsmittelwahl (Modal Split) der Lehrer:innen (Frühjahr bis Herbst)</t>
  </si>
  <si>
    <t>Verkehrsmittelwahl (Modal Split) der Lehrer:innen im Winter</t>
  </si>
  <si>
    <t>Zurückgelegte Wegstrecke nach Verkehrsmittel für Lehrer:innen</t>
  </si>
  <si>
    <t>Emissionen nach Verkehrsmitteln für Lehrer:innen</t>
  </si>
  <si>
    <t>Auswertung für Schulweg Schüler:innen</t>
  </si>
  <si>
    <t>Auswertung für Schulweg Lehrer:innen</t>
  </si>
  <si>
    <t>Anzahl Schüler:innen</t>
  </si>
  <si>
    <t>Anzahl Lehrer:innen</t>
  </si>
  <si>
    <t>Summe Schüler:innen und Lehrer:innen</t>
  </si>
  <si>
    <t xml:space="preserve">Um die CO₂-Emissionen für den Schulweg der Schüler:innen, sowie der Lehrer:innen abzuschätzen, eignet sich eine Mobilitätsbefragung. Als Pilotschule im Projekt KlimaRatSchule erstellen wir für Euch eine Online-Umfrage. Ihr erhaltet einen Link und einen QR-Code zu einer für Eure Schule angelegte Online-Umfrage, die in der EU gehostet ist und keine sensiblen Benutzerdaten erfasst. </t>
  </si>
  <si>
    <t>Schüler:in</t>
  </si>
  <si>
    <t>Lehrer:in oder andere Beschäftigte</t>
  </si>
  <si>
    <t>Anzahl der Schüler:innen an Umfrage</t>
  </si>
  <si>
    <t>Anzahl Schüler:innen der Schule</t>
  </si>
  <si>
    <t>Hochrechnungsfaktor (=Anteil Teilnehmer / Anzahl Schüler:innen gesamt)</t>
  </si>
  <si>
    <t>Um die CO₂-Emissionen des Schulweges aller Schüler:innen zu erhalten, multiplizieren wir weiter unten die Umfrageergebnisse mit dem Hochrechnungsfaktor.</t>
  </si>
  <si>
    <t>Grafische Auswertung Schulweg Schüler:innen</t>
  </si>
  <si>
    <t>Im folgenden Bereich werden die Ergebnisse für den Schulweg der Schüler:innen in Diagrammen dargestellt.</t>
  </si>
  <si>
    <t>Verkehrsmittelwahl (Modal Split) der Schüler:innen</t>
  </si>
  <si>
    <t>Anzahl der Lehrer:innen an Umfrage</t>
  </si>
  <si>
    <t>Anzahl Lehrer:innen an der Schule</t>
  </si>
  <si>
    <r>
      <rPr>
        <b/>
        <sz val="11"/>
        <color theme="1"/>
        <rFont val="Calibri"/>
        <family val="2"/>
        <scheme val="minor"/>
      </rPr>
      <t>Hinweise zur Berechnungsmethode</t>
    </r>
    <r>
      <rPr>
        <sz val="11"/>
        <color theme="1"/>
        <rFont val="Calibri"/>
        <family val="2"/>
        <scheme val="minor"/>
      </rPr>
      <t xml:space="preserve">
Diese Methode bietet nur eine Abschätzung der Treibhausgasemissionen durch die Schulkantine und soll Euch zeigen welche Auswirkungen die Auswahl klimafreundlicher Zutaten hat. Ein Vergleich mit anderen Schulen ist hier sehr schwer möglich. Wenn eine Schule beispielsweise keine Kantine hat, dann essen die Schüler:innen an Imbissen in der Nähe, was auch Emissionen verursacht. Diese Emissionen gehen jedoch nicht in die Bilanz mit ein.</t>
    </r>
  </si>
  <si>
    <t xml:space="preserve">Schulwege Lehrer:innen </t>
  </si>
  <si>
    <t>Anzahl Schüler:innen von Schulzentrum</t>
  </si>
  <si>
    <t>Anzahl Lehrer:innen von Schulzentrum</t>
  </si>
  <si>
    <t>Anzahl von Schüler:innen und Lehrer:innen:</t>
  </si>
  <si>
    <t>Anzahl von Schüler:innen</t>
  </si>
  <si>
    <t>Hochrechnungsfaktor (=Anteil Teilnehmer / Anzahl Lehrer:innen gesamt)</t>
  </si>
  <si>
    <t>Auswertung</t>
  </si>
  <si>
    <t>Zusammenfassung der wichtigsten Ein- und Ausgabewerte</t>
  </si>
  <si>
    <t>Schüler:innen</t>
  </si>
  <si>
    <t>Lehrer:innen und andere Beschäftigte</t>
  </si>
  <si>
    <t>Wärmeverbrauch</t>
  </si>
  <si>
    <t>Anteil</t>
  </si>
  <si>
    <t>kWh/m2</t>
  </si>
  <si>
    <t>kWh/Person</t>
  </si>
  <si>
    <r>
      <t>THG in kg 
CO</t>
    </r>
    <r>
      <rPr>
        <vertAlign val="subscript"/>
        <sz val="11"/>
        <color theme="1"/>
        <rFont val="Calibri"/>
        <family val="2"/>
        <scheme val="minor"/>
      </rPr>
      <t>2äq</t>
    </r>
    <r>
      <rPr>
        <sz val="11"/>
        <color theme="1"/>
        <rFont val="Calibri"/>
        <family val="2"/>
        <scheme val="minor"/>
      </rPr>
      <t xml:space="preserve"> /m</t>
    </r>
    <r>
      <rPr>
        <vertAlign val="superscript"/>
        <sz val="11"/>
        <color theme="1"/>
        <rFont val="Calibri"/>
        <family val="2"/>
        <scheme val="minor"/>
      </rPr>
      <t>2</t>
    </r>
  </si>
  <si>
    <r>
      <t>THG in kg 
CO</t>
    </r>
    <r>
      <rPr>
        <vertAlign val="subscript"/>
        <sz val="11"/>
        <color theme="1"/>
        <rFont val="Calibri"/>
        <family val="2"/>
        <scheme val="minor"/>
      </rPr>
      <t>2äq</t>
    </r>
    <r>
      <rPr>
        <sz val="11"/>
        <color theme="1"/>
        <rFont val="Calibri"/>
        <family val="2"/>
        <scheme val="minor"/>
      </rPr>
      <t xml:space="preserve"> /Person</t>
    </r>
  </si>
  <si>
    <t>Eingabewerte:</t>
  </si>
  <si>
    <t>Energienutzfläche gesamt</t>
  </si>
  <si>
    <t>Energienutzfläche Schule</t>
  </si>
  <si>
    <t>Anteil Energienutzfläche</t>
  </si>
  <si>
    <t>Summe ohne PV:</t>
  </si>
  <si>
    <r>
      <t>THG in kg CO</t>
    </r>
    <r>
      <rPr>
        <vertAlign val="subscript"/>
        <sz val="11"/>
        <color theme="1"/>
        <rFont val="Calibri"/>
        <family val="2"/>
        <scheme val="minor"/>
      </rPr>
      <t>2äq</t>
    </r>
  </si>
  <si>
    <t>erfasst</t>
  </si>
  <si>
    <t>berechnet</t>
  </si>
  <si>
    <t>km/Strecke</t>
  </si>
  <si>
    <t>Verkaufte Essen/Jahr</t>
  </si>
  <si>
    <t>Durchschnittliche Wegstrecke</t>
  </si>
  <si>
    <t>Korrigierter Jahresverbrauch in m3/Jahr</t>
  </si>
  <si>
    <t xml:space="preserve">Wasser in m3/Jahr </t>
  </si>
  <si>
    <t>Eingabe der Müllmenge in kg oder Liter</t>
  </si>
  <si>
    <t>Schulbücher in kg/Jahr</t>
  </si>
  <si>
    <t>Stühle und Tische/Jahr</t>
  </si>
  <si>
    <t>PCs, Notebooks und Tablets/Jahr</t>
  </si>
  <si>
    <t>Müll in Liter/Jahr</t>
  </si>
  <si>
    <t>Papier in kg/Jahr</t>
  </si>
  <si>
    <t>Verbrauch / Person/Jahr</t>
  </si>
  <si>
    <t>Verbrauch gesamt</t>
  </si>
  <si>
    <t>Verbrauchswerte</t>
  </si>
  <si>
    <t xml:space="preserve">Die Unterscheidung zwischen "erfassten" und "berechneten" Werten ist nur für Schulzentren mit mehreren Schulen wichtig. "Erfasste" Werte sind die in den einzelnen Tabellenblättern eingegebenen Werte. Die "berechneten" Werte sind die Emissionen, die sich nur auf die Schule beziehen. Mehr hierzu im Tabellenblatt Einstellungen - Abgrenzung und Aufteilung der Verbrauchswerte. </t>
  </si>
  <si>
    <t>Platz für weitere Berechnungen</t>
  </si>
  <si>
    <t>vereinfachte Abschätzung</t>
  </si>
  <si>
    <t>1. Anleitung</t>
  </si>
  <si>
    <t>4. Detaillierte Berechnungsmethode</t>
  </si>
  <si>
    <t>1. Auswahl der Berechnungsmethode</t>
  </si>
  <si>
    <t xml:space="preserve">Im Bereich Ernährung könnt ihr zwischen einer einfachen Abschätzung der Emissionen und einer detaillierten Berechnung wählen. 
In der vereinfachten Berechnung müssen nur die Öffnungstage der Kantine, die Anzahl der pro Tag verkauften Essen und der Anteil der Gerichte mit Fleisch/Fisch und vegetarischen Gerichte angegeben werden.
In der detaillierten Berechnungsmethode werden zunächst die Emissionen einzelner typischer Gerichte über die Zutatenliste berechnet. Anschließend werden anhand dieser Gerichte die Emissionen für das ganze Schuljahr hochgerechnet. </t>
  </si>
  <si>
    <t>2. Vereinfachte Berechnungsmethode</t>
  </si>
  <si>
    <t>3. Erfassung der Essensreste</t>
  </si>
  <si>
    <t>4.1. Anleitung</t>
  </si>
  <si>
    <t>2. Übersicht der berechneten Gerichte</t>
  </si>
  <si>
    <t>3. Hochrechnung der Treibhausgasemissionen für ein Jahr</t>
  </si>
  <si>
    <t>4. Übersicht der veganen und vegetarischen Gerichte und Fleischgerichte</t>
  </si>
  <si>
    <t>5. Erfassung von verkauften Snacks</t>
  </si>
  <si>
    <t>6. Berechnung der Emissionen einzelner Gerichte</t>
  </si>
  <si>
    <t>5. Zutatenliste (nicht zur Bearbeitung)</t>
  </si>
  <si>
    <t>6. Auswahlliste Snacks (nicht zur Bearbeitung)</t>
  </si>
  <si>
    <t>5. Zutatenliste  (nicht zur Bearbeitung)</t>
  </si>
  <si>
    <t>Detaillierter CO₂-Rechner Schulessen</t>
  </si>
  <si>
    <t>finaler Wert (inkl. Vorkette)</t>
  </si>
  <si>
    <t>Vorläufiger Wert (inkl. Vorkette)</t>
  </si>
  <si>
    <t>Strommix 2023</t>
  </si>
  <si>
    <t>Schulbus 2023</t>
  </si>
  <si>
    <t>Linienbus (Nahverkehr) 2023</t>
  </si>
  <si>
    <t>andere ÖPNV (S-Bahn/Bahn,…) 2023</t>
  </si>
  <si>
    <t>Auto (Kleinwagen) 2023</t>
  </si>
  <si>
    <t>Auto (Mittelklasse) 2023</t>
  </si>
  <si>
    <t>Auto (Oberklasse/SUV) 2023</t>
  </si>
  <si>
    <t>Auto-Fahrgemeinschaft 2023</t>
  </si>
  <si>
    <t>E-Auto (rein elektrisch) 2023</t>
  </si>
  <si>
    <t>Eisenbahn Fernverkehr 2023</t>
  </si>
  <si>
    <t>Flugzeug Inland 2023</t>
  </si>
  <si>
    <t>Flugzeug Ausland 2023</t>
  </si>
  <si>
    <t>mit 57% Auslastung</t>
  </si>
  <si>
    <t>mit 46% Auslastung</t>
  </si>
  <si>
    <t>mit 16% Auslastung</t>
  </si>
  <si>
    <t>mit 15% Auslastung</t>
  </si>
  <si>
    <t>erstmals in UBA ausgewiesen</t>
  </si>
  <si>
    <t>mit 51% Auslastung</t>
  </si>
  <si>
    <t>mit 11% Auslastung</t>
  </si>
  <si>
    <t>mit 14% Auslastung</t>
  </si>
  <si>
    <t>Schätzwert (Wert von vor Corona 2019)</t>
  </si>
  <si>
    <t>Basierend auf den UBA-Emissionswerten</t>
  </si>
  <si>
    <t xml:space="preserve"> für Linienbusse unter Annahme einer </t>
  </si>
  <si>
    <t>48%-igen Auslastung.</t>
  </si>
  <si>
    <t>Bezugsjahr für Emissionsfaktoren</t>
  </si>
  <si>
    <t>BezugsjahrEmissionsfaktoren</t>
  </si>
  <si>
    <t>Schuljahr 2018/2019</t>
  </si>
  <si>
    <t>Schuljahr 2019/2020</t>
  </si>
  <si>
    <t>Schuljahr 2020/2021</t>
  </si>
  <si>
    <t>Schuljahr 2021/2022</t>
  </si>
  <si>
    <t>Schuljahr 2022/2023</t>
  </si>
  <si>
    <t>Schuljahr 2023/2024</t>
  </si>
  <si>
    <r>
      <rPr>
        <b/>
        <sz val="11"/>
        <color theme="1"/>
        <rFont val="Calibri"/>
        <family val="2"/>
        <scheme val="minor"/>
      </rPr>
      <t>Info Bezugsjahr:</t>
    </r>
    <r>
      <rPr>
        <sz val="11"/>
        <color theme="1"/>
        <rFont val="Calibri"/>
        <family val="2"/>
        <scheme val="minor"/>
      </rPr>
      <t xml:space="preserve">
Bezugsjahr ist das Jahr, für das die CO₂-Bilanz berechnet werden soll. Es ist in der Regel sinnvoll, das letzte abgeschlossene Kalenderjahr zu verwenden. Wenn ihr die CO₂-Bilanz zu Jahresbeginn erstellt, können jedoch manche Verbrauchswerte noch nicht vorliegen. Ihr könnt die CO₂-Bilanz auch für ein Schuljahr berechnen. Dies ist jedoch etwas komplizierter, da die meisten Verbrauchsgüter nicht nach Schuljahr abgerechnet werden und die Sommerferien berücksichtigt werden müssen. 
Da sich Emissionsfaktoren allmählich ändern, ist das Ergebnis der CO₂-Bilanz auch von der Wahl des Bezugsjahr abhängig. Die hinterlegten Emissionsfaktoren findet ihr im Tabellenblatt Einstellungen. </t>
    </r>
  </si>
  <si>
    <t>Schätzwert, basierend auf 2019 Wert</t>
  </si>
  <si>
    <t>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</si>
</sst>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4" formatCode="_-* #,##0.00\ &quot;€&quot;_-;\-* #,##0.00\ &quot;€&quot;_-;_-* &quot;-&quot;??\ &quot;€&quot;_-;_-@_-"/>
    <numFmt numFmtId="164" formatCode="_-* #,##0.00_-;\-* #,##0.00_-;_-* &quot;-&quot;??_-;_-@_-"/>
    <numFmt numFmtId="165" formatCode="0\ &quot;Tage&quot;"/>
    <numFmt numFmtId="166" formatCode="#,##0\ &quot;m²&quot;"/>
    <numFmt numFmtId="167" formatCode="#,##0.0\ &quot;kWp&quot;"/>
    <numFmt numFmtId="168" formatCode="0\ &quot;kWh&quot;"/>
    <numFmt numFmtId="169" formatCode="#,##0\ &quot;kWh&quot;"/>
    <numFmt numFmtId="170" formatCode="0%;\-0%;&quot;-&quot;"/>
    <numFmt numFmtId="171" formatCode="#,##0\ &quot;g&quot;"/>
    <numFmt numFmtId="172" formatCode="_-* #,##0.0000_-;\-* #,##0.0000_-;_-* &quot;-&quot;??_-;_-@_-"/>
    <numFmt numFmtId="173" formatCode="_-* #,##0_-;\-* #,##0_-;_-* &quot;-&quot;??_-;_-@_-"/>
    <numFmt numFmtId="174" formatCode="0.0%"/>
    <numFmt numFmtId="175" formatCode="0.0"/>
    <numFmt numFmtId="176" formatCode="#,##0\ &quot;kg CO₂&quot;"/>
    <numFmt numFmtId="177" formatCode="#,##0\ &quot;kg CO₂/Jahr&quot;"/>
    <numFmt numFmtId="178" formatCode="&quot;x&quot;\ 0.00\ &quot;kg CO₂ =&quot;"/>
    <numFmt numFmtId="179" formatCode="0.000\ &quot;kg CO₂&quot;"/>
    <numFmt numFmtId="180" formatCode="0.000\ &quot;kg CO₂/kWh&quot;"/>
    <numFmt numFmtId="181" formatCode="#,##0\ &quot;gCO₂&quot;"/>
    <numFmt numFmtId="182" formatCode="#,##0.00\ &quot;gCO₂&quot;"/>
    <numFmt numFmtId="183" formatCode="#,##0\ &quot;kgCO₂&quot;"/>
    <numFmt numFmtId="184" formatCode="0.000\ &quot;kg CO₂/kg Papier&quot;"/>
    <numFmt numFmtId="185" formatCode="&quot;x&quot;\ 0.000\ &quot;kg CO₂ =&quot;"/>
    <numFmt numFmtId="186" formatCode="#,##0.00\ &quot;kgCO₂&quot;"/>
    <numFmt numFmtId="187" formatCode="#,##0.000"/>
    <numFmt numFmtId="188" formatCode="0.000"/>
    <numFmt numFmtId="189" formatCode="#,##0.0\ &quot;kWp&quot;;#,##0.0\ &quot;kWp&quot;;#"/>
    <numFmt numFmtId="190" formatCode="#,##0\ &quot;kg&quot;"/>
    <numFmt numFmtId="191" formatCode="&quot;x&quot;\ #,##0.00"/>
    <numFmt numFmtId="192" formatCode="&quot;=&quot;\ #,##0\ &quot;kgCO₂&quot;"/>
    <numFmt numFmtId="193" formatCode="#,##0.00\ &quot;kgCO₂&quot;;\-#,##0.00\ &quot;kgCO₂&quot;;&quot;&quot;"/>
    <numFmt numFmtId="194" formatCode="#,##0\ &quot;g&quot;;\-#,##0\ &quot;g&quot;;&quot;&quot;"/>
    <numFmt numFmtId="195" formatCode="0\ &quot;Liter&quot;"/>
    <numFmt numFmtId="196" formatCode="#,##0\ &quot;Liter&quot;"/>
    <numFmt numFmtId="197" formatCode="0.000\ &quot;kg CO₂/kg&quot;"/>
    <numFmt numFmtId="198" formatCode="#,##0.0"/>
    <numFmt numFmtId="199" formatCode="0\ &quot;kg CO₂&quot;"/>
    <numFmt numFmtId="200" formatCode="0.0\ &quot;m³&quot;"/>
    <numFmt numFmtId="201" formatCode="0.000\ &quot;kg CO₂/m³&quot;"/>
    <numFmt numFmtId="202" formatCode="#,##0\ &quot;kWh/m²*a&quot;"/>
    <numFmt numFmtId="203" formatCode="#,##0\ &quot;kWh/a&quot;"/>
    <numFmt numFmtId="204" formatCode="&quot;*&quot;0"/>
    <numFmt numFmtId="205" formatCode="#,##0\ &quot;kgCO₂&quot;;\-#,##0\ &quot;kgCO₂&quot;;&quot;&quot;"/>
  </numFmts>
  <fonts count="65" x14ac:knownFonts="1">
    <font>
      <sz val="11"/>
      <color theme="1"/>
      <name val="Calibri"/>
      <family val="2"/>
      <scheme val="minor"/>
    </font>
    <font>
      <sz val="11"/>
      <color theme="1"/>
      <name val="Calibri"/>
      <family val="2"/>
      <scheme val="minor"/>
    </font>
    <font>
      <b/>
      <sz val="13"/>
      <color theme="3"/>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2"/>
      <color theme="1"/>
      <name val="Calibri"/>
      <family val="2"/>
      <scheme val="minor"/>
    </font>
    <font>
      <b/>
      <sz val="18"/>
      <color theme="1"/>
      <name val="Calibri"/>
      <family val="2"/>
      <scheme val="minor"/>
    </font>
    <font>
      <i/>
      <sz val="11"/>
      <color theme="1"/>
      <name val="Calibri"/>
      <family val="2"/>
      <scheme val="minor"/>
    </font>
    <font>
      <u/>
      <sz val="11"/>
      <color theme="10"/>
      <name val="Calibri"/>
      <family val="2"/>
      <scheme val="minor"/>
    </font>
    <font>
      <b/>
      <u/>
      <sz val="11"/>
      <color theme="4" tint="-0.249977111117893"/>
      <name val="Calibri"/>
      <family val="2"/>
      <scheme val="minor"/>
    </font>
    <font>
      <sz val="11"/>
      <color rgb="FFFF0000"/>
      <name val="Calibri"/>
      <family val="2"/>
      <scheme val="minor"/>
    </font>
    <font>
      <sz val="10"/>
      <color theme="1"/>
      <name val="Arial"/>
      <family val="2"/>
    </font>
    <font>
      <b/>
      <sz val="11"/>
      <color theme="1"/>
      <name val="Symbol"/>
      <family val="1"/>
      <charset val="2"/>
    </font>
    <font>
      <b/>
      <sz val="11"/>
      <color theme="0"/>
      <name val="Symbol"/>
      <family val="1"/>
      <charset val="2"/>
    </font>
    <font>
      <b/>
      <sz val="15"/>
      <color theme="3"/>
      <name val="Calibri"/>
      <family val="2"/>
      <scheme val="minor"/>
    </font>
    <font>
      <b/>
      <sz val="11"/>
      <color theme="3"/>
      <name val="Calibri"/>
      <family val="2"/>
      <scheme val="minor"/>
    </font>
    <font>
      <b/>
      <sz val="11"/>
      <color rgb="FF3F3F3F"/>
      <name val="Calibri"/>
      <family val="2"/>
      <scheme val="minor"/>
    </font>
    <font>
      <i/>
      <sz val="11"/>
      <color rgb="FF7F7F7F"/>
      <name val="Calibri"/>
      <family val="2"/>
      <scheme val="minor"/>
    </font>
    <font>
      <b/>
      <i/>
      <sz val="11"/>
      <color theme="1"/>
      <name val="Calibri"/>
      <family val="2"/>
      <scheme val="minor"/>
    </font>
    <font>
      <i/>
      <sz val="9"/>
      <color rgb="FF7F7F7F"/>
      <name val="Calibri"/>
      <family val="2"/>
      <scheme val="minor"/>
    </font>
    <font>
      <sz val="10"/>
      <color theme="1"/>
      <name val="Calibri"/>
      <family val="2"/>
      <scheme val="minor"/>
    </font>
    <font>
      <i/>
      <sz val="10"/>
      <color rgb="FFC00000"/>
      <name val="Calibri"/>
      <family val="2"/>
      <scheme val="minor"/>
    </font>
    <font>
      <sz val="11"/>
      <color theme="3"/>
      <name val="Calibri"/>
      <family val="2"/>
      <scheme val="minor"/>
    </font>
    <font>
      <b/>
      <sz val="14"/>
      <color theme="9" tint="-0.249977111117893"/>
      <name val="Calibri"/>
      <family val="2"/>
      <scheme val="minor"/>
    </font>
    <font>
      <sz val="11"/>
      <color rgb="FF3F3F3F"/>
      <name val="Calibri"/>
      <family val="2"/>
      <scheme val="minor"/>
    </font>
    <font>
      <b/>
      <sz val="14"/>
      <color rgb="FF006533"/>
      <name val="Calibri"/>
      <family val="2"/>
      <scheme val="minor"/>
    </font>
    <font>
      <sz val="11"/>
      <color theme="1"/>
      <name val="Calibri"/>
      <family val="2"/>
    </font>
    <font>
      <sz val="11"/>
      <color theme="1" tint="0.499984740745262"/>
      <name val="Calibri"/>
      <family val="2"/>
      <scheme val="minor"/>
    </font>
    <font>
      <vertAlign val="subscript"/>
      <sz val="11"/>
      <color theme="1"/>
      <name val="Calibri"/>
      <family val="2"/>
      <scheme val="minor"/>
    </font>
    <font>
      <b/>
      <vertAlign val="subscript"/>
      <sz val="11"/>
      <color theme="1"/>
      <name val="Calibri"/>
      <family val="2"/>
      <scheme val="minor"/>
    </font>
    <font>
      <b/>
      <sz val="14"/>
      <color theme="9" tint="-0.499984740745262"/>
      <name val="Calibri"/>
      <family val="2"/>
      <scheme val="minor"/>
    </font>
    <font>
      <b/>
      <sz val="11"/>
      <color theme="8"/>
      <name val="Calibri"/>
      <family val="2"/>
      <scheme val="minor"/>
    </font>
    <font>
      <vertAlign val="superscript"/>
      <sz val="11"/>
      <color theme="1"/>
      <name val="Calibri"/>
      <family val="2"/>
      <scheme val="minor"/>
    </font>
    <font>
      <b/>
      <vertAlign val="subscript"/>
      <sz val="11"/>
      <color theme="0"/>
      <name val="Calibri"/>
      <family val="2"/>
      <scheme val="minor"/>
    </font>
    <font>
      <b/>
      <vertAlign val="subscript"/>
      <sz val="13"/>
      <color theme="3"/>
      <name val="Calibri"/>
      <family val="2"/>
      <scheme val="minor"/>
    </font>
    <font>
      <b/>
      <sz val="11"/>
      <color rgb="FFFA7D00"/>
      <name val="Calibri"/>
      <family val="2"/>
      <scheme val="minor"/>
    </font>
    <font>
      <b/>
      <sz val="11"/>
      <color rgb="FFFF0000"/>
      <name val="Calibri"/>
      <family val="2"/>
      <scheme val="minor"/>
    </font>
    <font>
      <b/>
      <vertAlign val="subscript"/>
      <sz val="22"/>
      <color theme="1"/>
      <name val="Calibri"/>
      <family val="2"/>
      <scheme val="minor"/>
    </font>
    <font>
      <sz val="8"/>
      <name val="Calibri"/>
      <family val="2"/>
      <scheme val="minor"/>
    </font>
    <font>
      <b/>
      <u/>
      <sz val="11"/>
      <color theme="10"/>
      <name val="Calibri"/>
      <family val="2"/>
      <scheme val="minor"/>
    </font>
    <font>
      <sz val="14"/>
      <color rgb="FF595959"/>
      <name val="Calibri"/>
      <family val="2"/>
      <scheme val="minor"/>
    </font>
    <font>
      <i/>
      <sz val="11"/>
      <color theme="1" tint="0.499984740745262"/>
      <name val="Calibri"/>
      <family val="2"/>
      <scheme val="minor"/>
    </font>
    <font>
      <b/>
      <sz val="10"/>
      <color theme="1"/>
      <name val="Calibri"/>
      <family val="2"/>
      <scheme val="minor"/>
    </font>
    <font>
      <b/>
      <sz val="16"/>
      <color rgb="FF005989"/>
      <name val="Arial"/>
      <family val="2"/>
    </font>
    <font>
      <b/>
      <sz val="16"/>
      <color rgb="FFF18800"/>
      <name val="Arial"/>
      <family val="2"/>
    </font>
    <font>
      <b/>
      <sz val="16"/>
      <color rgb="FF87BD25"/>
      <name val="Arial"/>
      <family val="2"/>
    </font>
    <font>
      <b/>
      <sz val="16"/>
      <color rgb="FFE94B4D"/>
      <name val="Arial"/>
      <family val="2"/>
    </font>
    <font>
      <sz val="14"/>
      <color theme="1"/>
      <name val="Calibri"/>
      <family val="2"/>
      <scheme val="minor"/>
    </font>
    <font>
      <sz val="8"/>
      <color indexed="55"/>
      <name val="Arial"/>
      <family val="2"/>
    </font>
    <font>
      <sz val="10"/>
      <name val="Arial"/>
      <family val="2"/>
    </font>
    <font>
      <b/>
      <sz val="11"/>
      <name val="Calibri"/>
      <family val="2"/>
      <scheme val="minor"/>
    </font>
    <font>
      <b/>
      <sz val="11"/>
      <color rgb="FF0070C0"/>
      <name val="Calibri"/>
      <family val="2"/>
      <scheme val="minor"/>
    </font>
    <font>
      <b/>
      <sz val="11"/>
      <color rgb="FFE94B4D"/>
      <name val="Calibri"/>
      <family val="2"/>
      <scheme val="minor"/>
    </font>
    <font>
      <b/>
      <sz val="11"/>
      <color rgb="FF87BD25"/>
      <name val="Calibri"/>
      <family val="2"/>
      <scheme val="minor"/>
    </font>
    <font>
      <b/>
      <sz val="11"/>
      <color rgb="FF5B9BD5"/>
      <name val="Calibri"/>
      <family val="2"/>
      <scheme val="minor"/>
    </font>
    <font>
      <b/>
      <sz val="13"/>
      <color rgb="FF005989"/>
      <name val="Calibri"/>
      <family val="2"/>
      <scheme val="minor"/>
    </font>
    <font>
      <b/>
      <sz val="12"/>
      <color rgb="FF005989"/>
      <name val="Calibri"/>
      <family val="2"/>
      <scheme val="minor"/>
    </font>
    <font>
      <b/>
      <sz val="11"/>
      <color rgb="FF005989"/>
      <name val="Calibri"/>
      <family val="2"/>
      <scheme val="minor"/>
    </font>
    <font>
      <sz val="11"/>
      <color rgb="FF005989"/>
      <name val="Calibri"/>
      <family val="2"/>
      <scheme val="minor"/>
    </font>
    <font>
      <sz val="12"/>
      <color rgb="FF005989"/>
      <name val="Calibri"/>
      <family val="2"/>
      <scheme val="minor"/>
    </font>
    <font>
      <b/>
      <sz val="8"/>
      <color rgb="FF005989"/>
      <name val="Calibri"/>
      <family val="2"/>
      <scheme val="minor"/>
    </font>
    <font>
      <b/>
      <sz val="15"/>
      <color rgb="FF005989"/>
      <name val="Calibri"/>
      <family val="2"/>
      <scheme val="minor"/>
    </font>
    <font>
      <b/>
      <sz val="14"/>
      <color theme="1"/>
      <name val="Calibri"/>
      <family val="2"/>
      <scheme val="minor"/>
    </font>
    <font>
      <sz val="11"/>
      <color theme="8"/>
      <name val="Calibri"/>
      <family val="2"/>
      <scheme val="minor"/>
    </font>
  </fonts>
  <fills count="51">
    <fill>
      <patternFill patternType="none"/>
    </fill>
    <fill>
      <patternFill patternType="gray125"/>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4"/>
        <bgColor indexed="64"/>
      </patternFill>
    </fill>
    <fill>
      <patternFill patternType="solid">
        <fgColor theme="9"/>
        <bgColor indexed="64"/>
      </patternFill>
    </fill>
    <fill>
      <patternFill patternType="solid">
        <fgColor theme="5"/>
        <bgColor indexed="64"/>
      </patternFill>
    </fill>
    <fill>
      <patternFill patternType="solid">
        <fgColor theme="7"/>
        <bgColor indexed="64"/>
      </patternFill>
    </fill>
    <fill>
      <patternFill patternType="solid">
        <fgColor theme="1" tint="0.499984740745262"/>
        <bgColor indexed="64"/>
      </patternFill>
    </fill>
    <fill>
      <patternFill patternType="solid">
        <fgColor rgb="FFFFFFCC"/>
        <bgColor indexed="64"/>
      </patternFill>
    </fill>
    <fill>
      <patternFill patternType="solid">
        <fgColor rgb="FF0093CB"/>
        <bgColor indexed="64"/>
      </patternFill>
    </fill>
    <fill>
      <patternFill patternType="solid">
        <fgColor rgb="FF006C71"/>
        <bgColor indexed="64"/>
      </patternFill>
    </fill>
    <fill>
      <patternFill patternType="solid">
        <fgColor rgb="FFE5143B"/>
        <bgColor indexed="64"/>
      </patternFill>
    </fill>
    <fill>
      <patternFill patternType="solid">
        <fgColor rgb="FF006533"/>
        <bgColor indexed="64"/>
      </patternFill>
    </fill>
    <fill>
      <patternFill patternType="solid">
        <fgColor theme="0" tint="-4.9989318521683403E-2"/>
        <bgColor indexed="64"/>
      </patternFill>
    </fill>
    <fill>
      <patternFill patternType="solid">
        <fgColor theme="5"/>
      </patternFill>
    </fill>
    <fill>
      <patternFill patternType="solid">
        <fgColor theme="5" tint="0.79998168889431442"/>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theme="2" tint="-9.9978637043366805E-2"/>
        <bgColor indexed="64"/>
      </patternFill>
    </fill>
    <fill>
      <patternFill patternType="solid">
        <fgColor rgb="FFF2F2F2"/>
      </patternFill>
    </fill>
    <fill>
      <patternFill patternType="solid">
        <fgColor theme="6" tint="0.79998168889431442"/>
        <bgColor indexed="65"/>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darkHorizontal">
        <fgColor theme="0" tint="-4.9989318521683403E-2"/>
        <bgColor rgb="FFFFFFCC"/>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18800"/>
        <bgColor indexed="64"/>
      </patternFill>
    </fill>
    <fill>
      <patternFill patternType="solid">
        <fgColor rgb="FF005989"/>
        <bgColor indexed="64"/>
      </patternFill>
    </fill>
    <fill>
      <patternFill patternType="solid">
        <fgColor rgb="FF87BD25"/>
        <bgColor indexed="64"/>
      </patternFill>
    </fill>
    <fill>
      <patternFill patternType="solid">
        <fgColor rgb="FFE94B4D"/>
        <bgColor indexed="64"/>
      </patternFill>
    </fill>
    <fill>
      <patternFill patternType="solid">
        <fgColor rgb="FF5B9BD5"/>
        <bgColor indexed="64"/>
      </patternFill>
    </fill>
    <fill>
      <patternFill patternType="solid">
        <fgColor rgb="FF00A552"/>
        <bgColor indexed="64"/>
      </patternFill>
    </fill>
    <fill>
      <patternFill patternType="solid">
        <fgColor rgb="FF4AB84D"/>
        <bgColor indexed="64"/>
      </patternFill>
    </fill>
    <fill>
      <patternFill patternType="solid">
        <fgColor rgb="FFBDD740"/>
        <bgColor indexed="64"/>
      </patternFill>
    </fill>
    <fill>
      <patternFill patternType="solid">
        <fgColor rgb="FFFFF235"/>
        <bgColor indexed="64"/>
      </patternFill>
    </fill>
    <fill>
      <patternFill patternType="solid">
        <fgColor rgb="FFFCBA32"/>
        <bgColor indexed="64"/>
      </patternFill>
    </fill>
    <fill>
      <patternFill patternType="solid">
        <fgColor rgb="FFF47232"/>
        <bgColor indexed="64"/>
      </patternFill>
    </fill>
    <fill>
      <patternFill patternType="solid">
        <fgColor rgb="FFEF2730"/>
        <bgColor indexed="64"/>
      </patternFill>
    </fill>
    <fill>
      <patternFill patternType="solid">
        <fgColor rgb="FFE7F0F9"/>
        <bgColor indexed="64"/>
      </patternFill>
    </fill>
  </fills>
  <borders count="139">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ck">
        <color theme="4"/>
      </left>
      <right style="thick">
        <color theme="4"/>
      </right>
      <top style="thick">
        <color theme="4"/>
      </top>
      <bottom style="thick">
        <color theme="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theme="7"/>
      </bottom>
      <diagonal/>
    </border>
    <border>
      <left/>
      <right/>
      <top/>
      <bottom style="thick">
        <color theme="9"/>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rgb="FF3F3F3F"/>
      </left>
      <right/>
      <top/>
      <bottom style="thin">
        <color rgb="FF3F3F3F"/>
      </bottom>
      <diagonal/>
    </border>
    <border>
      <left style="thin">
        <color rgb="FF3F3F3F"/>
      </left>
      <right/>
      <top style="thin">
        <color rgb="FF3F3F3F"/>
      </top>
      <bottom style="thin">
        <color rgb="FF3F3F3F"/>
      </bottom>
      <diagonal/>
    </border>
    <border>
      <left style="thin">
        <color indexed="64"/>
      </left>
      <right/>
      <top/>
      <bottom style="thin">
        <color indexed="64"/>
      </bottom>
      <diagonal/>
    </border>
    <border>
      <left/>
      <right/>
      <top/>
      <bottom style="thin">
        <color indexed="64"/>
      </bottom>
      <diagonal/>
    </border>
    <border>
      <left/>
      <right style="thin">
        <color auto="1"/>
      </right>
      <top/>
      <bottom/>
      <diagonal/>
    </border>
    <border>
      <left style="medium">
        <color rgb="FFCCCCCC"/>
      </left>
      <right style="medium">
        <color rgb="FFCCCCCC"/>
      </right>
      <top/>
      <bottom/>
      <diagonal/>
    </border>
    <border>
      <left style="thin">
        <color rgb="FFB2B2B2"/>
      </left>
      <right style="thin">
        <color rgb="FFB2B2B2"/>
      </right>
      <top style="thin">
        <color rgb="FFB2B2B2"/>
      </top>
      <bottom/>
      <diagonal/>
    </border>
    <border>
      <left/>
      <right/>
      <top style="thick">
        <color indexed="64"/>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mediumDashed">
        <color rgb="FFB2B2B2"/>
      </right>
      <top style="mediumDashed">
        <color rgb="FFB2B2B2"/>
      </top>
      <bottom style="mediumDashed">
        <color rgb="FFB2B2B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64"/>
      </right>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double">
        <color theme="1"/>
      </top>
      <bottom/>
      <diagonal/>
    </border>
    <border>
      <left style="thin">
        <color theme="1" tint="0.499984740745262"/>
      </left>
      <right style="thin">
        <color theme="1" tint="0.499984740745262"/>
      </right>
      <top style="thin">
        <color theme="1" tint="0.499984740745262"/>
      </top>
      <bottom style="thin">
        <color indexed="64"/>
      </bottom>
      <diagonal/>
    </border>
    <border>
      <left style="thin">
        <color rgb="FFB2B2B2"/>
      </left>
      <right/>
      <top style="thin">
        <color rgb="FFB2B2B2"/>
      </top>
      <bottom style="thin">
        <color rgb="FFB2B2B2"/>
      </bottom>
      <diagonal/>
    </border>
    <border>
      <left/>
      <right style="thin">
        <color rgb="FFB2B2B2"/>
      </right>
      <top style="thin">
        <color rgb="FFB2B2B2"/>
      </top>
      <bottom style="thin">
        <color rgb="FFB2B2B2"/>
      </bottom>
      <diagonal/>
    </border>
    <border>
      <left/>
      <right style="thin">
        <color rgb="FF3F3F3F"/>
      </right>
      <top style="thin">
        <color rgb="FF3F3F3F"/>
      </top>
      <bottom style="thin">
        <color rgb="FF3F3F3F"/>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Dashed">
        <color theme="1" tint="0.499984740745262"/>
      </left>
      <right/>
      <top style="mediumDashed">
        <color theme="1" tint="0.499984740745262"/>
      </top>
      <bottom/>
      <diagonal/>
    </border>
    <border>
      <left/>
      <right/>
      <top style="mediumDashed">
        <color theme="1" tint="0.499984740745262"/>
      </top>
      <bottom/>
      <diagonal/>
    </border>
    <border>
      <left/>
      <right style="mediumDashed">
        <color theme="1" tint="0.499984740745262"/>
      </right>
      <top style="mediumDashed">
        <color theme="1" tint="0.499984740745262"/>
      </top>
      <bottom/>
      <diagonal/>
    </border>
    <border>
      <left style="mediumDashed">
        <color theme="1" tint="0.499984740745262"/>
      </left>
      <right/>
      <top/>
      <bottom/>
      <diagonal/>
    </border>
    <border>
      <left/>
      <right style="mediumDashed">
        <color theme="1" tint="0.499984740745262"/>
      </right>
      <top/>
      <bottom/>
      <diagonal/>
    </border>
    <border>
      <left style="mediumDashed">
        <color theme="1" tint="0.499984740745262"/>
      </left>
      <right/>
      <top/>
      <bottom style="mediumDashed">
        <color theme="1" tint="0.499984740745262"/>
      </bottom>
      <diagonal/>
    </border>
    <border>
      <left/>
      <right/>
      <top/>
      <bottom style="mediumDashed">
        <color theme="1" tint="0.499984740745262"/>
      </bottom>
      <diagonal/>
    </border>
    <border>
      <left/>
      <right style="mediumDashed">
        <color theme="1" tint="0.499984740745262"/>
      </right>
      <top/>
      <bottom style="mediumDashed">
        <color theme="1" tint="0.499984740745262"/>
      </bottom>
      <diagonal/>
    </border>
    <border>
      <left/>
      <right style="medium">
        <color indexed="64"/>
      </right>
      <top/>
      <bottom style="medium">
        <color indexed="64"/>
      </bottom>
      <diagonal/>
    </border>
    <border>
      <left style="thin">
        <color indexed="64"/>
      </left>
      <right style="medium">
        <color indexed="64"/>
      </right>
      <top/>
      <bottom/>
      <diagonal/>
    </border>
    <border>
      <left/>
      <right/>
      <top/>
      <bottom style="thick">
        <color rgb="FF5B9BD4"/>
      </bottom>
      <diagonal/>
    </border>
    <border>
      <left/>
      <right/>
      <top style="thin">
        <color indexed="64"/>
      </top>
      <bottom style="thin">
        <color indexed="64"/>
      </bottom>
      <diagonal/>
    </border>
    <border>
      <left style="thick">
        <color rgb="FF80B2E4"/>
      </left>
      <right style="thick">
        <color rgb="FF80B2E4"/>
      </right>
      <top style="thick">
        <color rgb="FF80B2E4"/>
      </top>
      <bottom style="thick">
        <color rgb="FF80B2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rgb="FF7F7F7F"/>
      </left>
      <right style="medium">
        <color indexed="64"/>
      </right>
      <top style="thin">
        <color rgb="FF7F7F7F"/>
      </top>
      <bottom style="thin">
        <color rgb="FF7F7F7F"/>
      </bottom>
      <diagonal/>
    </border>
    <border>
      <left style="thin">
        <color rgb="FF3F3F3F"/>
      </left>
      <right style="thin">
        <color rgb="FF3F3F3F"/>
      </right>
      <top style="thin">
        <color rgb="FF3F3F3F"/>
      </top>
      <bottom/>
      <diagonal/>
    </border>
    <border>
      <left style="thin">
        <color rgb="FF7F7F7F"/>
      </left>
      <right style="medium">
        <color indexed="64"/>
      </right>
      <top style="thin">
        <color rgb="FF7F7F7F"/>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14996795556505021"/>
      </left>
      <right style="thin">
        <color theme="1"/>
      </right>
      <top style="thin">
        <color theme="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1"/>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theme="0" tint="-0.14996795556505021"/>
      </left>
      <right style="thin">
        <color theme="1"/>
      </right>
      <top style="thin">
        <color theme="0" tint="-0.14996795556505021"/>
      </top>
      <bottom style="thin">
        <color theme="1"/>
      </bottom>
      <diagonal/>
    </border>
    <border>
      <left/>
      <right style="thin">
        <color theme="1" tint="0.499984740745262"/>
      </right>
      <top style="thin">
        <color theme="1" tint="0.499984740745262"/>
      </top>
      <bottom style="thin">
        <color theme="1" tint="0.499984740745262"/>
      </bottom>
      <diagonal/>
    </border>
    <border>
      <left style="thin">
        <color theme="0" tint="-0.14996795556505021"/>
      </left>
      <right/>
      <top style="thin">
        <color theme="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1"/>
      </bottom>
      <diagonal/>
    </border>
    <border>
      <left style="medium">
        <color rgb="FF80B2E4"/>
      </left>
      <right/>
      <top style="medium">
        <color rgb="FF80B2E4"/>
      </top>
      <bottom style="medium">
        <color rgb="FF80B2E4"/>
      </bottom>
      <diagonal/>
    </border>
    <border>
      <left/>
      <right/>
      <top style="medium">
        <color rgb="FF80B2E4"/>
      </top>
      <bottom style="medium">
        <color rgb="FF80B2E4"/>
      </bottom>
      <diagonal/>
    </border>
    <border>
      <left/>
      <right style="medium">
        <color rgb="FF80B2E4"/>
      </right>
      <top style="medium">
        <color rgb="FF80B2E4"/>
      </top>
      <bottom style="medium">
        <color rgb="FF80B2E4"/>
      </bottom>
      <diagonal/>
    </border>
    <border>
      <left/>
      <right/>
      <top style="thin">
        <color theme="1"/>
      </top>
      <bottom style="thin">
        <color theme="1"/>
      </bottom>
      <diagonal/>
    </border>
    <border>
      <left style="thick">
        <color rgb="FF80B2E4"/>
      </left>
      <right/>
      <top style="thick">
        <color rgb="FF80B2E4"/>
      </top>
      <bottom style="thick">
        <color rgb="FF80B2E4"/>
      </bottom>
      <diagonal/>
    </border>
    <border>
      <left/>
      <right style="thick">
        <color rgb="FF80B2E4"/>
      </right>
      <top style="thick">
        <color rgb="FF80B2E4"/>
      </top>
      <bottom style="thick">
        <color rgb="FF80B2E4"/>
      </bottom>
      <diagonal/>
    </border>
    <border>
      <left style="dashed">
        <color auto="1"/>
      </left>
      <right style="dashed">
        <color auto="1"/>
      </right>
      <top style="dashed">
        <color auto="1"/>
      </top>
      <bottom style="dashed">
        <color auto="1"/>
      </bottom>
      <diagonal/>
    </border>
    <border>
      <left/>
      <right/>
      <top style="thin">
        <color theme="0" tint="-0.14996795556505021"/>
      </top>
      <bottom style="thin">
        <color theme="0" tint="-0.14996795556505021"/>
      </bottom>
      <diagonal/>
    </border>
    <border>
      <left/>
      <right/>
      <top style="thin">
        <color theme="0" tint="-0.14996795556505021"/>
      </top>
      <bottom style="thin">
        <color theme="1"/>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top/>
      <bottom style="medium">
        <color theme="4" tint="0.3999755851924192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CCCCCC"/>
      </left>
      <right style="medium">
        <color rgb="FFCCCCCC"/>
      </right>
      <top style="medium">
        <color rgb="FFCCCCCC"/>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ck">
        <color rgb="FF80B2E4"/>
      </left>
      <right style="hair">
        <color theme="0" tint="-0.24994659260841701"/>
      </right>
      <top style="hair">
        <color theme="0" tint="-0.24994659260841701"/>
      </top>
      <bottom style="hair">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rgb="FF5B9BD4"/>
      </left>
      <right style="medium">
        <color rgb="FF5B9BD4"/>
      </right>
      <top style="medium">
        <color rgb="FF5B9BD4"/>
      </top>
      <bottom style="medium">
        <color rgb="FF5B9BD4"/>
      </bottom>
      <diagonal/>
    </border>
    <border>
      <left style="medium">
        <color rgb="FF5B9BD5"/>
      </left>
      <right style="medium">
        <color rgb="FF5B9BD5"/>
      </right>
      <top style="medium">
        <color rgb="FF5B9BD5"/>
      </top>
      <bottom style="medium">
        <color rgb="FF5B9BD5"/>
      </bottom>
      <diagonal/>
    </border>
    <border>
      <left style="thin">
        <color rgb="FF5B9BD5"/>
      </left>
      <right style="thin">
        <color rgb="FF5B9BD5"/>
      </right>
      <top style="thin">
        <color rgb="FF5B9BD5"/>
      </top>
      <bottom style="thin">
        <color rgb="FF5B9BD5"/>
      </bottom>
      <diagonal/>
    </border>
    <border>
      <left/>
      <right/>
      <top style="thin">
        <color theme="1"/>
      </top>
      <bottom style="thin">
        <color indexed="64"/>
      </bottom>
      <diagonal/>
    </border>
    <border>
      <left style="medium">
        <color rgb="FF80B2E4"/>
      </left>
      <right style="medium">
        <color rgb="FF80B2E4"/>
      </right>
      <top style="medium">
        <color rgb="FF80B2E4"/>
      </top>
      <bottom style="medium">
        <color rgb="FF80B2E4"/>
      </bottom>
      <diagonal/>
    </border>
    <border>
      <left/>
      <right style="dotted">
        <color theme="0" tint="-0.499984740745262"/>
      </right>
      <top style="dotted">
        <color theme="0" tint="-0.499984740745262"/>
      </top>
      <bottom style="dotted">
        <color theme="0" tint="-0.499984740745262"/>
      </bottom>
      <diagonal/>
    </border>
    <border>
      <left/>
      <right/>
      <top/>
      <bottom style="thick">
        <color rgb="FF5B9BD5"/>
      </bottom>
      <diagonal/>
    </border>
    <border>
      <left/>
      <right/>
      <top/>
      <bottom style="thick">
        <color rgb="FFE94B4D"/>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style="dotted">
        <color theme="0" tint="-0.14996795556505021"/>
      </left>
      <right style="dotted">
        <color theme="0" tint="-0.14996795556505021"/>
      </right>
      <top style="dotted">
        <color theme="0" tint="-0.14996795556505021"/>
      </top>
      <bottom style="dotted">
        <color theme="0" tint="-0.14996795556505021"/>
      </bottom>
      <diagonal/>
    </border>
    <border>
      <left/>
      <right/>
      <top/>
      <bottom style="thick">
        <color rgb="FF005989"/>
      </bottom>
      <diagonal/>
    </border>
    <border>
      <left style="thin">
        <color theme="1" tint="0.499984740745262"/>
      </left>
      <right style="thin">
        <color theme="1" tint="0.499984740745262"/>
      </right>
      <top style="thin">
        <color theme="1"/>
      </top>
      <bottom style="thin">
        <color theme="1" tint="0.499984740745262"/>
      </bottom>
      <diagonal/>
    </border>
    <border>
      <left style="thin">
        <color theme="1" tint="0.499984740745262"/>
      </left>
      <right style="thin">
        <color theme="1"/>
      </right>
      <top style="thin">
        <color theme="1"/>
      </top>
      <bottom style="thin">
        <color theme="1" tint="0.499984740745262"/>
      </bottom>
      <diagonal/>
    </border>
    <border>
      <left/>
      <right/>
      <top/>
      <bottom style="thin">
        <color theme="1"/>
      </bottom>
      <diagonal/>
    </border>
    <border>
      <left style="thick">
        <color rgb="FF80B2E4"/>
      </left>
      <right style="thin">
        <color indexed="64"/>
      </right>
      <top style="thin">
        <color theme="0" tint="-0.499984740745262"/>
      </top>
      <bottom style="thin">
        <color theme="0" tint="-0.499984740745262"/>
      </bottom>
      <diagonal/>
    </border>
    <border>
      <left/>
      <right/>
      <top style="thin">
        <color rgb="FFB2B2B2"/>
      </top>
      <bottom style="thin">
        <color rgb="FFB2B2B2"/>
      </bottom>
      <diagonal/>
    </border>
    <border>
      <left style="thin">
        <color indexed="64"/>
      </left>
      <right/>
      <top style="thin">
        <color theme="1" tint="0.499984740745262"/>
      </top>
      <bottom style="thin">
        <color indexed="64"/>
      </bottom>
      <diagonal/>
    </border>
    <border>
      <left/>
      <right style="thin">
        <color indexed="64"/>
      </right>
      <top style="thin">
        <color theme="1" tint="0.499984740745262"/>
      </top>
      <bottom style="thin">
        <color indexed="64"/>
      </bottom>
      <diagonal/>
    </border>
  </borders>
  <cellStyleXfs count="21">
    <xf numFmtId="0" fontId="0" fillId="0" borderId="0"/>
    <xf numFmtId="0" fontId="2" fillId="0" borderId="2" applyNumberFormat="0" applyFill="0" applyAlignment="0" applyProtection="0"/>
    <xf numFmtId="0" fontId="1" fillId="2" borderId="3" applyNumberFormat="0" applyFont="0" applyAlignment="0" applyProtection="0"/>
    <xf numFmtId="0" fontId="5" fillId="3" borderId="0" applyNumberFormat="0" applyBorder="0" applyAlignment="0" applyProtection="0"/>
    <xf numFmtId="0" fontId="1" fillId="4" borderId="0" applyNumberFormat="0" applyBorder="0" applyAlignment="0" applyProtection="0"/>
    <xf numFmtId="0" fontId="9" fillId="0" borderId="0" applyNumberFormat="0" applyFill="0" applyBorder="0" applyAlignment="0" applyProtection="0"/>
    <xf numFmtId="0" fontId="5" fillId="17" borderId="0" applyNumberFormat="0" applyBorder="0" applyAlignment="0" applyProtection="0"/>
    <xf numFmtId="0" fontId="1" fillId="18" borderId="0" applyNumberFormat="0" applyBorder="0" applyAlignment="0" applyProtection="0"/>
    <xf numFmtId="0" fontId="5" fillId="19" borderId="0" applyNumberFormat="0" applyBorder="0" applyAlignment="0" applyProtection="0"/>
    <xf numFmtId="0" fontId="1" fillId="20" borderId="0" applyNumberFormat="0" applyBorder="0" applyAlignment="0" applyProtection="0"/>
    <xf numFmtId="0" fontId="5" fillId="21" borderId="0" applyNumberFormat="0" applyBorder="0" applyAlignment="0" applyProtection="0"/>
    <xf numFmtId="0" fontId="1" fillId="22"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 fillId="0" borderId="1" applyNumberFormat="0" applyFill="0" applyAlignment="0" applyProtection="0"/>
    <xf numFmtId="0" fontId="17" fillId="24" borderId="11" applyNumberFormat="0" applyAlignment="0" applyProtection="0"/>
    <xf numFmtId="0" fontId="18" fillId="0" borderId="0" applyNumberFormat="0" applyFill="0" applyBorder="0" applyAlignment="0" applyProtection="0"/>
    <xf numFmtId="0" fontId="1" fillId="25" borderId="0" applyNumberFormat="0" applyBorder="0" applyAlignment="0" applyProtection="0"/>
    <xf numFmtId="164" fontId="1" fillId="0" borderId="0" applyFont="0" applyFill="0" applyBorder="0" applyAlignment="0" applyProtection="0"/>
    <xf numFmtId="0" fontId="36" fillId="24" borderId="27" applyNumberFormat="0" applyAlignment="0" applyProtection="0"/>
    <xf numFmtId="0" fontId="16" fillId="0" borderId="108" applyNumberFormat="0" applyFill="0" applyAlignment="0" applyProtection="0"/>
  </cellStyleXfs>
  <cellXfs count="698">
    <xf numFmtId="0" fontId="0" fillId="0" borderId="0" xfId="0"/>
    <xf numFmtId="0" fontId="0" fillId="5" borderId="0" xfId="0" applyFill="1"/>
    <xf numFmtId="0" fontId="6" fillId="5" borderId="0" xfId="0" applyFont="1" applyFill="1"/>
    <xf numFmtId="0" fontId="2" fillId="0" borderId="2" xfId="1"/>
    <xf numFmtId="0" fontId="7" fillId="0" borderId="0" xfId="0" applyFont="1"/>
    <xf numFmtId="0" fontId="0" fillId="6" borderId="0" xfId="0" applyFill="1"/>
    <xf numFmtId="0" fontId="0" fillId="10" borderId="0" xfId="0" applyFill="1"/>
    <xf numFmtId="0" fontId="4" fillId="6" borderId="0" xfId="0" applyFont="1" applyFill="1"/>
    <xf numFmtId="0" fontId="4" fillId="0" borderId="0" xfId="0" applyFont="1"/>
    <xf numFmtId="0" fontId="4" fillId="9" borderId="0" xfId="0" applyFont="1" applyFill="1"/>
    <xf numFmtId="0" fontId="4" fillId="8" borderId="0" xfId="0" applyFont="1" applyFill="1"/>
    <xf numFmtId="0" fontId="4" fillId="7" borderId="0" xfId="0" applyFont="1" applyFill="1"/>
    <xf numFmtId="0" fontId="4" fillId="10" borderId="0" xfId="0" applyFont="1" applyFill="1"/>
    <xf numFmtId="0" fontId="0" fillId="2" borderId="3" xfId="2" applyFont="1"/>
    <xf numFmtId="0" fontId="0" fillId="5" borderId="1" xfId="0" applyFill="1" applyBorder="1"/>
    <xf numFmtId="0" fontId="0" fillId="0" borderId="0" xfId="0" applyAlignment="1">
      <alignment horizontal="right"/>
    </xf>
    <xf numFmtId="0" fontId="5" fillId="12" borderId="0" xfId="0" applyFont="1" applyFill="1"/>
    <xf numFmtId="0" fontId="5" fillId="13" borderId="0" xfId="0" applyFont="1" applyFill="1"/>
    <xf numFmtId="0" fontId="0" fillId="14" borderId="0" xfId="0" applyFill="1"/>
    <xf numFmtId="0" fontId="5" fillId="15" borderId="0" xfId="0" applyFont="1" applyFill="1"/>
    <xf numFmtId="3" fontId="0" fillId="11" borderId="7" xfId="0" applyNumberFormat="1" applyFill="1" applyBorder="1"/>
    <xf numFmtId="0" fontId="3" fillId="3" borderId="0" xfId="3" applyFont="1"/>
    <xf numFmtId="0" fontId="1" fillId="4" borderId="0" xfId="4"/>
    <xf numFmtId="0" fontId="8" fillId="16" borderId="7" xfId="0" applyFont="1" applyFill="1" applyBorder="1" applyAlignment="1">
      <alignment horizontal="center"/>
    </xf>
    <xf numFmtId="165" fontId="0" fillId="16" borderId="8" xfId="0" applyNumberFormat="1" applyFill="1" applyBorder="1"/>
    <xf numFmtId="0" fontId="9" fillId="0" borderId="0" xfId="5"/>
    <xf numFmtId="0" fontId="10" fillId="0" borderId="0" xfId="5" applyFont="1"/>
    <xf numFmtId="3" fontId="8" fillId="16" borderId="7" xfId="0" applyNumberFormat="1" applyFont="1" applyFill="1" applyBorder="1" applyAlignment="1">
      <alignment horizontal="right"/>
    </xf>
    <xf numFmtId="0" fontId="0" fillId="5" borderId="9" xfId="0" applyFill="1" applyBorder="1"/>
    <xf numFmtId="0" fontId="0" fillId="5" borderId="10" xfId="0" applyFill="1" applyBorder="1"/>
    <xf numFmtId="0" fontId="5" fillId="3" borderId="0" xfId="3"/>
    <xf numFmtId="0" fontId="0" fillId="0" borderId="7" xfId="0" applyBorder="1"/>
    <xf numFmtId="0" fontId="5" fillId="17" borderId="0" xfId="6"/>
    <xf numFmtId="0" fontId="1" fillId="18" borderId="0" xfId="7"/>
    <xf numFmtId="3" fontId="0" fillId="0" borderId="7" xfId="0" applyNumberFormat="1" applyBorder="1"/>
    <xf numFmtId="0" fontId="5" fillId="19" borderId="0" xfId="8"/>
    <xf numFmtId="0" fontId="0" fillId="0" borderId="0" xfId="0" applyAlignment="1">
      <alignment horizontal="left" indent="2"/>
    </xf>
    <xf numFmtId="0" fontId="9" fillId="0" borderId="0" xfId="5" applyAlignment="1">
      <alignment vertical="center"/>
    </xf>
    <xf numFmtId="0" fontId="11" fillId="0" borderId="0" xfId="0" applyFont="1"/>
    <xf numFmtId="0" fontId="3" fillId="17" borderId="0" xfId="6" applyFont="1"/>
    <xf numFmtId="0" fontId="14" fillId="21" borderId="0" xfId="10" applyFont="1"/>
    <xf numFmtId="0" fontId="0" fillId="0" borderId="0" xfId="0" applyAlignment="1">
      <alignment horizontal="left"/>
    </xf>
    <xf numFmtId="3" fontId="19" fillId="16" borderId="7" xfId="0" applyNumberFormat="1" applyFont="1" applyFill="1" applyBorder="1" applyAlignment="1">
      <alignment horizontal="right"/>
    </xf>
    <xf numFmtId="0" fontId="0" fillId="26" borderId="0" xfId="0" applyFill="1"/>
    <xf numFmtId="0" fontId="20" fillId="26" borderId="0" xfId="16" applyFont="1" applyFill="1" applyAlignment="1" applyProtection="1">
      <alignment vertical="top"/>
    </xf>
    <xf numFmtId="0" fontId="1" fillId="26" borderId="0" xfId="0" applyFont="1" applyFill="1"/>
    <xf numFmtId="0" fontId="0" fillId="0" borderId="8" xfId="0" applyBorder="1"/>
    <xf numFmtId="0" fontId="3" fillId="19" borderId="0" xfId="8" applyFont="1" applyAlignment="1">
      <alignment wrapText="1"/>
    </xf>
    <xf numFmtId="0" fontId="0" fillId="20" borderId="0" xfId="9" applyFont="1" applyProtection="1"/>
    <xf numFmtId="0" fontId="4" fillId="26" borderId="0" xfId="0" applyFont="1" applyFill="1"/>
    <xf numFmtId="0" fontId="21" fillId="26" borderId="0" xfId="0" applyFont="1" applyFill="1"/>
    <xf numFmtId="0" fontId="3" fillId="17" borderId="0" xfId="6" applyFont="1" applyAlignment="1">
      <alignment wrapText="1"/>
    </xf>
    <xf numFmtId="0" fontId="1" fillId="25" borderId="0" xfId="17"/>
    <xf numFmtId="0" fontId="0" fillId="18" borderId="0" xfId="7" applyFont="1"/>
    <xf numFmtId="0" fontId="3" fillId="6" borderId="0" xfId="0" applyFont="1" applyFill="1"/>
    <xf numFmtId="0" fontId="0" fillId="11" borderId="7" xfId="0" applyFill="1" applyBorder="1"/>
    <xf numFmtId="0" fontId="22" fillId="0" borderId="0" xfId="0" applyFont="1"/>
    <xf numFmtId="0" fontId="0" fillId="26" borderId="0" xfId="0" quotePrefix="1" applyFill="1" applyAlignment="1">
      <alignment horizontal="left" indent="1"/>
    </xf>
    <xf numFmtId="0" fontId="4" fillId="20" borderId="7" xfId="9" applyFont="1" applyBorder="1" applyAlignment="1">
      <alignment wrapText="1"/>
    </xf>
    <xf numFmtId="169" fontId="16" fillId="26" borderId="0" xfId="0" applyNumberFormat="1" applyFont="1" applyFill="1"/>
    <xf numFmtId="168" fontId="23" fillId="26" borderId="0" xfId="0" applyNumberFormat="1" applyFont="1" applyFill="1"/>
    <xf numFmtId="0" fontId="0" fillId="11" borderId="6" xfId="0" applyFill="1" applyBorder="1" applyAlignment="1" applyProtection="1">
      <alignment horizontal="center"/>
      <protection locked="0"/>
    </xf>
    <xf numFmtId="0" fontId="0" fillId="11" borderId="5" xfId="0" applyFill="1" applyBorder="1" applyAlignment="1" applyProtection="1">
      <alignment horizontal="center"/>
      <protection locked="0"/>
    </xf>
    <xf numFmtId="0" fontId="0" fillId="0" borderId="12" xfId="0" applyBorder="1"/>
    <xf numFmtId="0" fontId="0" fillId="0" borderId="13" xfId="0" applyBorder="1"/>
    <xf numFmtId="1" fontId="0" fillId="0" borderId="0" xfId="0" applyNumberFormat="1"/>
    <xf numFmtId="0" fontId="0" fillId="0" borderId="14" xfId="0" applyBorder="1"/>
    <xf numFmtId="0" fontId="0" fillId="0" borderId="15" xfId="0" applyBorder="1"/>
    <xf numFmtId="0" fontId="4" fillId="16" borderId="0" xfId="0" applyFont="1" applyFill="1"/>
    <xf numFmtId="0" fontId="0" fillId="16" borderId="0" xfId="0" applyFill="1"/>
    <xf numFmtId="170" fontId="24" fillId="26" borderId="0" xfId="13" applyNumberFormat="1" applyFont="1" applyFill="1" applyBorder="1" applyAlignment="1" applyProtection="1">
      <alignment horizontal="center"/>
    </xf>
    <xf numFmtId="0" fontId="15" fillId="26" borderId="0" xfId="14" applyFill="1" applyBorder="1" applyProtection="1"/>
    <xf numFmtId="0" fontId="17" fillId="24" borderId="18" xfId="15" applyBorder="1" applyProtection="1"/>
    <xf numFmtId="0" fontId="17" fillId="24" borderId="19" xfId="15" applyBorder="1" applyProtection="1"/>
    <xf numFmtId="3" fontId="0" fillId="0" borderId="0" xfId="0" applyNumberFormat="1"/>
    <xf numFmtId="0" fontId="0" fillId="0" borderId="0" xfId="0" applyAlignment="1">
      <alignment wrapText="1"/>
    </xf>
    <xf numFmtId="0" fontId="3" fillId="21" borderId="0" xfId="10" applyFont="1" applyAlignment="1">
      <alignment wrapText="1"/>
    </xf>
    <xf numFmtId="0" fontId="1" fillId="22" borderId="7" xfId="11" applyBorder="1"/>
    <xf numFmtId="0" fontId="0" fillId="0" borderId="0" xfId="0" applyAlignment="1">
      <alignment horizontal="center"/>
    </xf>
    <xf numFmtId="0" fontId="27" fillId="0" borderId="0" xfId="0" quotePrefix="1" applyFont="1" applyAlignment="1">
      <alignment horizontal="center"/>
    </xf>
    <xf numFmtId="0" fontId="0" fillId="0" borderId="0" xfId="0" quotePrefix="1" applyAlignment="1">
      <alignment horizontal="right"/>
    </xf>
    <xf numFmtId="164" fontId="0" fillId="0" borderId="7" xfId="18" applyFont="1" applyBorder="1"/>
    <xf numFmtId="172" fontId="0" fillId="0" borderId="7" xfId="18" applyNumberFormat="1" applyFont="1" applyBorder="1"/>
    <xf numFmtId="173" fontId="0" fillId="0" borderId="7" xfId="18" applyNumberFormat="1" applyFont="1" applyBorder="1"/>
    <xf numFmtId="174" fontId="0" fillId="0" borderId="0" xfId="13" applyNumberFormat="1" applyFont="1"/>
    <xf numFmtId="9" fontId="0" fillId="0" borderId="0" xfId="0" applyNumberFormat="1"/>
    <xf numFmtId="0" fontId="4" fillId="0" borderId="0" xfId="0" applyFont="1" applyAlignment="1">
      <alignment horizontal="right"/>
    </xf>
    <xf numFmtId="9" fontId="0" fillId="0" borderId="0" xfId="13" applyFont="1"/>
    <xf numFmtId="1" fontId="0" fillId="0" borderId="7" xfId="0" applyNumberFormat="1" applyBorder="1"/>
    <xf numFmtId="0" fontId="0" fillId="27" borderId="0" xfId="0" applyFill="1"/>
    <xf numFmtId="0" fontId="0" fillId="28" borderId="0" xfId="0" quotePrefix="1" applyFill="1"/>
    <xf numFmtId="0" fontId="3" fillId="17" borderId="0" xfId="6" applyFont="1" applyAlignment="1">
      <alignment vertical="top" wrapText="1"/>
    </xf>
    <xf numFmtId="0" fontId="3" fillId="3" borderId="0" xfId="3" applyFont="1" applyAlignment="1">
      <alignment vertical="top" wrapText="1"/>
    </xf>
    <xf numFmtId="0" fontId="26" fillId="5" borderId="9" xfId="0" applyFont="1" applyFill="1" applyBorder="1" applyAlignment="1">
      <alignment horizontal="left" indent="2"/>
    </xf>
    <xf numFmtId="0" fontId="26" fillId="5" borderId="10" xfId="0" applyFont="1" applyFill="1" applyBorder="1" applyAlignment="1">
      <alignment horizontal="left" indent="2"/>
    </xf>
    <xf numFmtId="0" fontId="13" fillId="23" borderId="0" xfId="10" applyFont="1" applyFill="1" applyBorder="1"/>
    <xf numFmtId="3" fontId="4" fillId="23" borderId="0" xfId="7" applyNumberFormat="1" applyFont="1" applyFill="1" applyBorder="1"/>
    <xf numFmtId="1" fontId="0" fillId="0" borderId="8" xfId="0" applyNumberFormat="1" applyBorder="1"/>
    <xf numFmtId="175" fontId="0" fillId="0" borderId="7" xfId="0" applyNumberFormat="1" applyBorder="1"/>
    <xf numFmtId="0" fontId="1" fillId="18" borderId="0" xfId="7" applyAlignment="1">
      <alignment wrapText="1"/>
    </xf>
    <xf numFmtId="0" fontId="1" fillId="4" borderId="0" xfId="4" applyAlignment="1">
      <alignment wrapText="1"/>
    </xf>
    <xf numFmtId="3" fontId="4" fillId="0" borderId="0" xfId="0" applyNumberFormat="1" applyFont="1"/>
    <xf numFmtId="0" fontId="26" fillId="5" borderId="10" xfId="0" applyFont="1" applyFill="1" applyBorder="1" applyAlignment="1">
      <alignment horizontal="left" indent="1"/>
    </xf>
    <xf numFmtId="0" fontId="4" fillId="6" borderId="7" xfId="0" applyFont="1" applyFill="1" applyBorder="1"/>
    <xf numFmtId="0" fontId="0" fillId="27" borderId="7" xfId="0" applyFill="1" applyBorder="1" applyAlignment="1">
      <alignment vertical="center"/>
    </xf>
    <xf numFmtId="0" fontId="32" fillId="0" borderId="0" xfId="0" applyFont="1"/>
    <xf numFmtId="9" fontId="1" fillId="16" borderId="7" xfId="13" applyFont="1" applyFill="1" applyBorder="1"/>
    <xf numFmtId="3" fontId="0" fillId="16" borderId="7" xfId="0" applyNumberFormat="1" applyFill="1" applyBorder="1"/>
    <xf numFmtId="0" fontId="0" fillId="0" borderId="0" xfId="0" applyAlignment="1">
      <alignment horizontal="left" indent="1"/>
    </xf>
    <xf numFmtId="0" fontId="4" fillId="0" borderId="0" xfId="0" applyFont="1" applyAlignment="1">
      <alignment horizontal="left" indent="1"/>
    </xf>
    <xf numFmtId="9" fontId="1" fillId="29" borderId="7" xfId="13" applyFont="1" applyFill="1" applyBorder="1"/>
    <xf numFmtId="176" fontId="0" fillId="16" borderId="7" xfId="0" applyNumberFormat="1" applyFill="1" applyBorder="1"/>
    <xf numFmtId="177" fontId="4" fillId="16" borderId="7" xfId="0" applyNumberFormat="1" applyFont="1" applyFill="1" applyBorder="1"/>
    <xf numFmtId="178" fontId="0" fillId="0" borderId="0" xfId="0" applyNumberFormat="1"/>
    <xf numFmtId="0" fontId="1" fillId="22" borderId="0" xfId="11" applyAlignment="1">
      <alignment wrapText="1"/>
    </xf>
    <xf numFmtId="0" fontId="4" fillId="0" borderId="0" xfId="0" applyFont="1" applyAlignment="1">
      <alignment horizontal="left"/>
    </xf>
    <xf numFmtId="0" fontId="2" fillId="0" borderId="2" xfId="1" applyAlignment="1">
      <alignment horizontal="left" indent="3"/>
    </xf>
    <xf numFmtId="0" fontId="6" fillId="5" borderId="0" xfId="0" applyFont="1" applyFill="1" applyAlignment="1">
      <alignment horizontal="left" indent="4"/>
    </xf>
    <xf numFmtId="0" fontId="12" fillId="5" borderId="23" xfId="0" applyFont="1" applyFill="1" applyBorder="1" applyAlignment="1">
      <alignment horizontal="center" vertical="center" wrapText="1"/>
    </xf>
    <xf numFmtId="1" fontId="4" fillId="0" borderId="25" xfId="0" applyNumberFormat="1" applyFont="1" applyBorder="1"/>
    <xf numFmtId="1" fontId="0" fillId="0" borderId="25" xfId="0" applyNumberFormat="1" applyBorder="1"/>
    <xf numFmtId="3" fontId="0" fillId="0" borderId="25" xfId="0" applyNumberFormat="1" applyBorder="1"/>
    <xf numFmtId="3" fontId="25" fillId="24" borderId="11" xfId="15" applyNumberFormat="1" applyFont="1"/>
    <xf numFmtId="0" fontId="0" fillId="0" borderId="26" xfId="0" applyBorder="1"/>
    <xf numFmtId="0" fontId="3" fillId="9" borderId="7" xfId="6" applyFont="1" applyFill="1" applyBorder="1"/>
    <xf numFmtId="0" fontId="3" fillId="17" borderId="7" xfId="6" applyFont="1" applyBorder="1"/>
    <xf numFmtId="0" fontId="3" fillId="21" borderId="26" xfId="10" applyFont="1" applyBorder="1"/>
    <xf numFmtId="0" fontId="3" fillId="21" borderId="17" xfId="10" applyFont="1" applyBorder="1"/>
    <xf numFmtId="175" fontId="0" fillId="0" borderId="0" xfId="0" applyNumberFormat="1"/>
    <xf numFmtId="3" fontId="11" fillId="0" borderId="0" xfId="0" applyNumberFormat="1" applyFont="1"/>
    <xf numFmtId="1" fontId="11" fillId="0" borderId="0" xfId="0" applyNumberFormat="1" applyFont="1"/>
    <xf numFmtId="0" fontId="4" fillId="0" borderId="8" xfId="0" applyFont="1" applyBorder="1"/>
    <xf numFmtId="1" fontId="0" fillId="0" borderId="7" xfId="0" applyNumberFormat="1" applyBorder="1" applyAlignment="1">
      <alignment horizontal="right"/>
    </xf>
    <xf numFmtId="3" fontId="0" fillId="0" borderId="7" xfId="0" applyNumberFormat="1" applyBorder="1" applyAlignment="1">
      <alignment horizontal="right"/>
    </xf>
    <xf numFmtId="0" fontId="3" fillId="21" borderId="0" xfId="10" applyFont="1"/>
    <xf numFmtId="1" fontId="25" fillId="24" borderId="11" xfId="15" applyNumberFormat="1" applyFont="1"/>
    <xf numFmtId="174" fontId="25" fillId="24" borderId="11" xfId="15" applyNumberFormat="1" applyFont="1"/>
    <xf numFmtId="2" fontId="25" fillId="24" borderId="11" xfId="15" applyNumberFormat="1" applyFont="1"/>
    <xf numFmtId="176" fontId="4" fillId="16" borderId="16" xfId="0" applyNumberFormat="1" applyFont="1" applyFill="1" applyBorder="1"/>
    <xf numFmtId="0" fontId="1" fillId="22" borderId="7" xfId="11" applyBorder="1" applyAlignment="1">
      <alignment horizontal="center" vertical="center" wrapText="1"/>
    </xf>
    <xf numFmtId="0" fontId="0" fillId="28" borderId="7" xfId="7" applyFont="1" applyFill="1" applyBorder="1" applyAlignment="1">
      <alignment horizontal="center" vertical="center"/>
    </xf>
    <xf numFmtId="174" fontId="0" fillId="0" borderId="7" xfId="13" applyNumberFormat="1" applyFont="1" applyFill="1" applyBorder="1"/>
    <xf numFmtId="3" fontId="0" fillId="30" borderId="7" xfId="0" applyNumberFormat="1" applyFill="1" applyBorder="1" applyAlignment="1">
      <alignment horizontal="right"/>
    </xf>
    <xf numFmtId="3" fontId="0" fillId="31" borderId="7" xfId="0" applyNumberFormat="1" applyFill="1" applyBorder="1" applyAlignment="1">
      <alignment horizontal="right"/>
    </xf>
    <xf numFmtId="3" fontId="0" fillId="32" borderId="7" xfId="0" applyNumberFormat="1" applyFill="1" applyBorder="1" applyAlignment="1">
      <alignment horizontal="right"/>
    </xf>
    <xf numFmtId="3" fontId="0" fillId="5" borderId="7" xfId="0" applyNumberFormat="1" applyFill="1" applyBorder="1" applyAlignment="1">
      <alignment horizontal="right"/>
    </xf>
    <xf numFmtId="1" fontId="0" fillId="33" borderId="7" xfId="0" applyNumberFormat="1" applyFill="1" applyBorder="1" applyAlignment="1">
      <alignment horizontal="right"/>
    </xf>
    <xf numFmtId="0" fontId="4"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3" fontId="4" fillId="0" borderId="7" xfId="0" applyNumberFormat="1" applyFont="1" applyBorder="1"/>
    <xf numFmtId="9" fontId="0" fillId="0" borderId="7" xfId="13" applyFont="1" applyBorder="1"/>
    <xf numFmtId="3" fontId="4" fillId="0" borderId="0" xfId="0" applyNumberFormat="1" applyFont="1" applyAlignment="1">
      <alignment horizontal="left"/>
    </xf>
    <xf numFmtId="3" fontId="4" fillId="0" borderId="7" xfId="0" applyNumberFormat="1" applyFont="1" applyBorder="1" applyAlignment="1">
      <alignment horizontal="right"/>
    </xf>
    <xf numFmtId="1" fontId="0" fillId="0" borderId="0" xfId="0" applyNumberFormat="1" applyAlignment="1">
      <alignment horizontal="right"/>
    </xf>
    <xf numFmtId="175" fontId="4" fillId="0" borderId="7" xfId="0" applyNumberFormat="1" applyFont="1" applyBorder="1"/>
    <xf numFmtId="1" fontId="4" fillId="0" borderId="7" xfId="0" applyNumberFormat="1" applyFont="1" applyBorder="1"/>
    <xf numFmtId="179" fontId="0" fillId="0" borderId="7" xfId="0" applyNumberFormat="1" applyBorder="1"/>
    <xf numFmtId="0" fontId="4" fillId="0" borderId="0" xfId="0" applyFont="1" applyAlignment="1">
      <alignment wrapText="1"/>
    </xf>
    <xf numFmtId="0" fontId="4" fillId="0" borderId="0" xfId="0" applyFont="1" applyAlignment="1">
      <alignment horizontal="center" wrapText="1"/>
    </xf>
    <xf numFmtId="0" fontId="9" fillId="0" borderId="7" xfId="5" applyBorder="1"/>
    <xf numFmtId="180" fontId="0" fillId="16" borderId="7" xfId="0" applyNumberFormat="1" applyFill="1" applyBorder="1" applyAlignment="1">
      <alignment horizontal="right"/>
    </xf>
    <xf numFmtId="176" fontId="4" fillId="16" borderId="7" xfId="0" applyNumberFormat="1" applyFont="1" applyFill="1" applyBorder="1"/>
    <xf numFmtId="0" fontId="37" fillId="26" borderId="28" xfId="0" applyFont="1" applyFill="1" applyBorder="1"/>
    <xf numFmtId="0" fontId="4" fillId="22" borderId="7" xfId="11" applyFont="1" applyBorder="1"/>
    <xf numFmtId="0" fontId="4" fillId="20" borderId="7" xfId="9" applyFont="1" applyBorder="1"/>
    <xf numFmtId="0" fontId="3" fillId="19" borderId="7" xfId="8" applyFont="1" applyBorder="1"/>
    <xf numFmtId="167" fontId="4" fillId="22" borderId="7" xfId="11" applyNumberFormat="1" applyFont="1" applyBorder="1"/>
    <xf numFmtId="0" fontId="0" fillId="2" borderId="3" xfId="2" applyFont="1" applyAlignment="1">
      <alignment horizontal="left"/>
    </xf>
    <xf numFmtId="0" fontId="1" fillId="2" borderId="4" xfId="2" applyFont="1" applyBorder="1" applyAlignment="1">
      <alignment horizontal="left"/>
    </xf>
    <xf numFmtId="0" fontId="0" fillId="0" borderId="7" xfId="0" applyBorder="1" applyAlignment="1">
      <alignment horizontal="left"/>
    </xf>
    <xf numFmtId="0" fontId="0" fillId="34" borderId="7" xfId="0" applyFill="1" applyBorder="1" applyAlignment="1">
      <alignment horizontal="left"/>
    </xf>
    <xf numFmtId="0" fontId="4" fillId="5" borderId="29" xfId="0" applyFont="1" applyFill="1" applyBorder="1" applyAlignment="1">
      <alignment horizontal="center" vertical="center"/>
    </xf>
    <xf numFmtId="0" fontId="4" fillId="5" borderId="30" xfId="0" applyFont="1" applyFill="1" applyBorder="1" applyAlignment="1">
      <alignment horizontal="center" vertical="center"/>
    </xf>
    <xf numFmtId="0" fontId="4" fillId="5" borderId="31" xfId="0" applyFont="1" applyFill="1" applyBorder="1" applyAlignment="1">
      <alignment horizontal="center" vertical="center"/>
    </xf>
    <xf numFmtId="0" fontId="0" fillId="0" borderId="32" xfId="0" applyBorder="1"/>
    <xf numFmtId="10" fontId="0" fillId="0" borderId="33" xfId="13" applyNumberFormat="1" applyFont="1" applyBorder="1"/>
    <xf numFmtId="10" fontId="0" fillId="0" borderId="34" xfId="13" applyNumberFormat="1" applyFont="1" applyBorder="1"/>
    <xf numFmtId="0" fontId="4" fillId="6" borderId="0" xfId="0" applyFont="1" applyFill="1" applyAlignment="1">
      <alignment wrapText="1"/>
    </xf>
    <xf numFmtId="176" fontId="0" fillId="0" borderId="0" xfId="0" applyNumberFormat="1"/>
    <xf numFmtId="184" fontId="28" fillId="0" borderId="0" xfId="0" applyNumberFormat="1" applyFont="1"/>
    <xf numFmtId="0" fontId="0" fillId="22" borderId="7" xfId="11" applyFont="1" applyBorder="1"/>
    <xf numFmtId="0" fontId="1" fillId="16" borderId="0" xfId="11" applyFill="1" applyBorder="1"/>
    <xf numFmtId="0" fontId="0" fillId="0" borderId="17" xfId="0" applyBorder="1"/>
    <xf numFmtId="0" fontId="3" fillId="3" borderId="7" xfId="3" applyFont="1" applyBorder="1" applyAlignment="1">
      <alignment wrapText="1"/>
    </xf>
    <xf numFmtId="0" fontId="0" fillId="2" borderId="4" xfId="2" applyFont="1" applyBorder="1" applyProtection="1">
      <protection locked="0"/>
    </xf>
    <xf numFmtId="3" fontId="0" fillId="2" borderId="3" xfId="2" applyNumberFormat="1" applyFont="1" applyProtection="1">
      <protection locked="0"/>
    </xf>
    <xf numFmtId="3" fontId="0" fillId="2" borderId="24" xfId="2" applyNumberFormat="1" applyFont="1" applyBorder="1" applyProtection="1">
      <protection locked="0"/>
    </xf>
    <xf numFmtId="175" fontId="1" fillId="29" borderId="7" xfId="13" applyNumberFormat="1" applyFont="1" applyFill="1" applyBorder="1" applyProtection="1">
      <protection locked="0"/>
    </xf>
    <xf numFmtId="14" fontId="0" fillId="11" borderId="7" xfId="0" applyNumberFormat="1" applyFill="1" applyBorder="1" applyProtection="1">
      <protection locked="0"/>
    </xf>
    <xf numFmtId="1" fontId="0" fillId="11" borderId="7" xfId="0" applyNumberFormat="1" applyFill="1" applyBorder="1" applyProtection="1">
      <protection locked="0"/>
    </xf>
    <xf numFmtId="1" fontId="0" fillId="11" borderId="26" xfId="0" applyNumberFormat="1" applyFill="1" applyBorder="1" applyProtection="1">
      <protection locked="0"/>
    </xf>
    <xf numFmtId="3" fontId="0" fillId="11" borderId="7" xfId="0" applyNumberFormat="1" applyFill="1" applyBorder="1" applyProtection="1">
      <protection locked="0"/>
    </xf>
    <xf numFmtId="3" fontId="0" fillId="11" borderId="17" xfId="0" applyNumberFormat="1" applyFill="1" applyBorder="1" applyProtection="1">
      <protection locked="0"/>
    </xf>
    <xf numFmtId="0" fontId="0" fillId="0" borderId="0" xfId="0" applyProtection="1">
      <protection locked="0"/>
    </xf>
    <xf numFmtId="0" fontId="0" fillId="0" borderId="40" xfId="0" applyBorder="1" applyAlignment="1">
      <alignment horizontal="center" vertical="center" wrapText="1"/>
    </xf>
    <xf numFmtId="0" fontId="0" fillId="0" borderId="37" xfId="0" applyBorder="1" applyAlignment="1">
      <alignment horizontal="center" vertical="center" wrapText="1"/>
    </xf>
    <xf numFmtId="9" fontId="4" fillId="0" borderId="7" xfId="13" applyFont="1" applyBorder="1"/>
    <xf numFmtId="185" fontId="0" fillId="0" borderId="0" xfId="0" applyNumberFormat="1"/>
    <xf numFmtId="0" fontId="9" fillId="0" borderId="0" xfId="5" applyFill="1" applyBorder="1"/>
    <xf numFmtId="0" fontId="12" fillId="0" borderId="0" xfId="0" applyFont="1" applyAlignment="1">
      <alignment wrapText="1"/>
    </xf>
    <xf numFmtId="0" fontId="40" fillId="0" borderId="0" xfId="5" applyFont="1"/>
    <xf numFmtId="176" fontId="4" fillId="0" borderId="39" xfId="0" applyNumberFormat="1" applyFont="1" applyBorder="1"/>
    <xf numFmtId="0" fontId="41" fillId="0" borderId="0" xfId="0" applyFont="1" applyAlignment="1">
      <alignment horizontal="center" vertical="center" readingOrder="1"/>
    </xf>
    <xf numFmtId="0" fontId="0" fillId="0" borderId="47" xfId="0" applyBorder="1"/>
    <xf numFmtId="0" fontId="0" fillId="0" borderId="48" xfId="0" applyBorder="1"/>
    <xf numFmtId="0" fontId="0" fillId="0" borderId="49" xfId="0" applyBorder="1"/>
    <xf numFmtId="0" fontId="0" fillId="0" borderId="55" xfId="0" applyBorder="1"/>
    <xf numFmtId="0" fontId="0" fillId="0" borderId="22" xfId="0" applyBorder="1"/>
    <xf numFmtId="0" fontId="0" fillId="0" borderId="20" xfId="0" applyBorder="1"/>
    <xf numFmtId="0" fontId="0" fillId="0" borderId="21" xfId="0" applyBorder="1"/>
    <xf numFmtId="0" fontId="40" fillId="0" borderId="0" xfId="5" applyFont="1" applyAlignment="1">
      <alignment horizontal="center"/>
    </xf>
    <xf numFmtId="0" fontId="4" fillId="0" borderId="56" xfId="0" applyFont="1"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10" fontId="0" fillId="0" borderId="7" xfId="13" applyNumberFormat="1" applyFont="1" applyBorder="1"/>
    <xf numFmtId="0" fontId="0" fillId="0" borderId="64" xfId="0" applyBorder="1"/>
    <xf numFmtId="0" fontId="4" fillId="0" borderId="14" xfId="0" applyFont="1" applyBorder="1"/>
    <xf numFmtId="169" fontId="0" fillId="0" borderId="7" xfId="0" applyNumberFormat="1" applyBorder="1"/>
    <xf numFmtId="169" fontId="4" fillId="0" borderId="15" xfId="0" applyNumberFormat="1" applyFont="1" applyBorder="1"/>
    <xf numFmtId="9" fontId="4" fillId="0" borderId="15" xfId="13" applyFont="1" applyBorder="1"/>
    <xf numFmtId="10" fontId="0" fillId="0" borderId="65" xfId="13" applyNumberFormat="1" applyFont="1" applyFill="1" applyBorder="1"/>
    <xf numFmtId="187" fontId="0" fillId="0" borderId="8" xfId="0" applyNumberFormat="1" applyBorder="1"/>
    <xf numFmtId="0" fontId="0" fillId="0" borderId="44" xfId="0" applyBorder="1"/>
    <xf numFmtId="0" fontId="0" fillId="0" borderId="45" xfId="0" applyBorder="1"/>
    <xf numFmtId="0" fontId="0" fillId="0" borderId="46" xfId="0" applyBorder="1"/>
    <xf numFmtId="0" fontId="0" fillId="0" borderId="50" xfId="0" applyBorder="1"/>
    <xf numFmtId="0" fontId="0" fillId="0" borderId="51" xfId="0" applyBorder="1"/>
    <xf numFmtId="0" fontId="0" fillId="0" borderId="47" xfId="0" applyBorder="1" applyAlignment="1">
      <alignment horizontal="left" wrapText="1" indent="1"/>
    </xf>
    <xf numFmtId="0" fontId="0" fillId="0" borderId="0" xfId="0" applyAlignment="1">
      <alignment horizontal="left" wrapText="1" indent="1"/>
    </xf>
    <xf numFmtId="0" fontId="0" fillId="0" borderId="48" xfId="0" applyBorder="1" applyAlignment="1">
      <alignment horizontal="left" wrapText="1" indent="1"/>
    </xf>
    <xf numFmtId="0" fontId="0" fillId="0" borderId="47" xfId="0" applyBorder="1" applyAlignment="1">
      <alignment horizontal="left" indent="1"/>
    </xf>
    <xf numFmtId="0" fontId="0" fillId="0" borderId="48" xfId="0" applyBorder="1" applyAlignment="1">
      <alignment horizontal="left" indent="1"/>
    </xf>
    <xf numFmtId="0" fontId="0" fillId="35" borderId="0" xfId="0" applyFill="1"/>
    <xf numFmtId="0" fontId="0" fillId="32" borderId="0" xfId="0" applyFill="1"/>
    <xf numFmtId="0" fontId="0" fillId="36" borderId="0" xfId="0" applyFill="1"/>
    <xf numFmtId="0" fontId="0" fillId="37" borderId="0" xfId="0" applyFill="1"/>
    <xf numFmtId="0" fontId="40" fillId="0" borderId="0" xfId="5" applyFont="1" applyAlignment="1"/>
    <xf numFmtId="177" fontId="0" fillId="0" borderId="0" xfId="0" applyNumberFormat="1"/>
    <xf numFmtId="173" fontId="0" fillId="0" borderId="0" xfId="18" applyNumberFormat="1" applyFont="1" applyBorder="1"/>
    <xf numFmtId="0" fontId="0" fillId="5" borderId="66" xfId="0" applyFill="1" applyBorder="1"/>
    <xf numFmtId="0" fontId="31" fillId="5" borderId="66" xfId="0" applyFont="1" applyFill="1" applyBorder="1" applyAlignment="1">
      <alignment horizontal="left" indent="1"/>
    </xf>
    <xf numFmtId="0" fontId="0" fillId="0" borderId="50" xfId="0" applyBorder="1" applyAlignment="1">
      <alignment vertical="top" wrapText="1"/>
    </xf>
    <xf numFmtId="0" fontId="0" fillId="0" borderId="51" xfId="0" applyBorder="1" applyAlignment="1">
      <alignment vertical="top" wrapText="1"/>
    </xf>
    <xf numFmtId="188" fontId="1" fillId="29" borderId="7" xfId="13" applyNumberFormat="1" applyFont="1" applyFill="1" applyBorder="1" applyProtection="1">
      <protection locked="0"/>
    </xf>
    <xf numFmtId="0" fontId="0" fillId="0" borderId="0" xfId="0" quotePrefix="1"/>
    <xf numFmtId="3" fontId="1" fillId="29" borderId="7" xfId="13" applyNumberFormat="1" applyFont="1" applyFill="1" applyBorder="1" applyProtection="1">
      <protection locked="0"/>
    </xf>
    <xf numFmtId="3" fontId="0" fillId="11" borderId="68" xfId="0" applyNumberFormat="1" applyFill="1" applyBorder="1" applyProtection="1">
      <protection locked="0"/>
    </xf>
    <xf numFmtId="0" fontId="17" fillId="24" borderId="69" xfId="15" applyBorder="1" applyProtection="1"/>
    <xf numFmtId="0" fontId="25" fillId="24" borderId="8" xfId="15" applyFont="1" applyBorder="1" applyProtection="1"/>
    <xf numFmtId="0" fontId="9" fillId="24" borderId="70" xfId="5" applyFill="1" applyBorder="1" applyProtection="1"/>
    <xf numFmtId="0" fontId="42" fillId="0" borderId="0" xfId="0" applyFont="1" applyAlignment="1">
      <alignment horizontal="right"/>
    </xf>
    <xf numFmtId="169" fontId="1" fillId="29" borderId="7" xfId="13" applyNumberFormat="1" applyFont="1" applyFill="1" applyBorder="1" applyProtection="1">
      <protection locked="0"/>
    </xf>
    <xf numFmtId="0" fontId="4" fillId="5" borderId="0" xfId="0" applyFont="1" applyFill="1" applyAlignment="1">
      <alignment horizontal="center" vertical="center"/>
    </xf>
    <xf numFmtId="10" fontId="0" fillId="0" borderId="0" xfId="13" applyNumberFormat="1" applyFont="1" applyBorder="1"/>
    <xf numFmtId="10" fontId="0" fillId="0" borderId="0" xfId="13" applyNumberFormat="1" applyFont="1" applyFill="1" applyBorder="1"/>
    <xf numFmtId="0" fontId="4" fillId="0" borderId="12" xfId="0" applyFont="1" applyBorder="1"/>
    <xf numFmtId="0" fontId="4" fillId="0" borderId="71" xfId="0" applyFont="1" applyBorder="1"/>
    <xf numFmtId="0" fontId="4" fillId="0" borderId="72" xfId="0" applyFont="1" applyBorder="1"/>
    <xf numFmtId="0" fontId="4" fillId="0" borderId="13" xfId="0" applyFont="1" applyBorder="1"/>
    <xf numFmtId="0" fontId="4" fillId="0" borderId="73" xfId="0" applyFont="1" applyBorder="1"/>
    <xf numFmtId="167" fontId="17" fillId="24" borderId="11" xfId="15" applyNumberFormat="1"/>
    <xf numFmtId="0" fontId="17" fillId="24" borderId="11" xfId="15"/>
    <xf numFmtId="0" fontId="36" fillId="24" borderId="74" xfId="19" applyBorder="1"/>
    <xf numFmtId="0" fontId="43" fillId="26" borderId="0" xfId="0" applyFont="1" applyFill="1"/>
    <xf numFmtId="0" fontId="17" fillId="24" borderId="75" xfId="15" applyBorder="1"/>
    <xf numFmtId="0" fontId="36" fillId="24" borderId="76" xfId="19" applyBorder="1"/>
    <xf numFmtId="0" fontId="0" fillId="0" borderId="71" xfId="0" applyBorder="1"/>
    <xf numFmtId="0" fontId="0" fillId="0" borderId="72" xfId="0" applyBorder="1"/>
    <xf numFmtId="0" fontId="0" fillId="0" borderId="73" xfId="0" applyBorder="1"/>
    <xf numFmtId="0" fontId="4" fillId="22" borderId="33" xfId="11" applyFont="1" applyBorder="1"/>
    <xf numFmtId="0" fontId="4" fillId="20" borderId="77" xfId="9" applyFont="1" applyBorder="1"/>
    <xf numFmtId="0" fontId="4" fillId="20" borderId="78" xfId="9" applyFont="1" applyBorder="1"/>
    <xf numFmtId="0" fontId="4" fillId="20" borderId="34" xfId="9" applyFont="1" applyBorder="1"/>
    <xf numFmtId="0" fontId="4" fillId="0" borderId="15" xfId="0" applyFont="1" applyBorder="1"/>
    <xf numFmtId="169" fontId="4" fillId="0" borderId="0" xfId="0" applyNumberFormat="1" applyFont="1"/>
    <xf numFmtId="187" fontId="0" fillId="0" borderId="0" xfId="0" applyNumberFormat="1"/>
    <xf numFmtId="3" fontId="0" fillId="0" borderId="13" xfId="0" applyNumberFormat="1" applyBorder="1"/>
    <xf numFmtId="3" fontId="0" fillId="0" borderId="73" xfId="0" applyNumberFormat="1" applyBorder="1"/>
    <xf numFmtId="1" fontId="0" fillId="0" borderId="14" xfId="0" applyNumberFormat="1" applyBorder="1"/>
    <xf numFmtId="1" fontId="0" fillId="0" borderId="64" xfId="0" applyNumberFormat="1" applyBorder="1"/>
    <xf numFmtId="0" fontId="0" fillId="0" borderId="0" xfId="0" applyAlignment="1">
      <alignment horizontal="right" indent="1"/>
    </xf>
    <xf numFmtId="1" fontId="0" fillId="11" borderId="26" xfId="0" applyNumberFormat="1" applyFill="1" applyBorder="1" applyAlignment="1" applyProtection="1">
      <alignment horizontal="center" vertical="center"/>
      <protection locked="0"/>
    </xf>
    <xf numFmtId="49" fontId="0" fillId="11" borderId="7" xfId="0" applyNumberFormat="1" applyFill="1" applyBorder="1" applyAlignment="1" applyProtection="1">
      <alignment horizontal="center"/>
      <protection locked="0"/>
    </xf>
    <xf numFmtId="186" fontId="4" fillId="16" borderId="38" xfId="0" applyNumberFormat="1" applyFont="1" applyFill="1" applyBorder="1" applyAlignment="1">
      <alignment horizontal="center"/>
    </xf>
    <xf numFmtId="186" fontId="4" fillId="16" borderId="35" xfId="0" applyNumberFormat="1" applyFont="1" applyFill="1" applyBorder="1" applyAlignment="1">
      <alignment horizontal="center"/>
    </xf>
    <xf numFmtId="1" fontId="0" fillId="11" borderId="7" xfId="0" applyNumberFormat="1" applyFill="1" applyBorder="1" applyAlignment="1" applyProtection="1">
      <alignment horizontal="center"/>
      <protection locked="0"/>
    </xf>
    <xf numFmtId="183" fontId="4" fillId="16" borderId="35" xfId="0" applyNumberFormat="1" applyFont="1" applyFill="1" applyBorder="1" applyAlignment="1">
      <alignment horizontal="center"/>
    </xf>
    <xf numFmtId="181" fontId="0" fillId="16" borderId="35" xfId="0" applyNumberFormat="1" applyFill="1" applyBorder="1" applyAlignment="1">
      <alignment horizontal="center"/>
    </xf>
    <xf numFmtId="181" fontId="4" fillId="16" borderId="35" xfId="0" applyNumberFormat="1" applyFont="1" applyFill="1" applyBorder="1" applyAlignment="1">
      <alignment horizontal="center"/>
    </xf>
    <xf numFmtId="3" fontId="0" fillId="16" borderId="38" xfId="0" applyNumberFormat="1" applyFill="1" applyBorder="1" applyAlignment="1">
      <alignment horizontal="center"/>
    </xf>
    <xf numFmtId="0" fontId="4" fillId="0" borderId="37" xfId="0" applyFont="1" applyBorder="1" applyAlignment="1">
      <alignment horizontal="center" wrapText="1"/>
    </xf>
    <xf numFmtId="0" fontId="4" fillId="0" borderId="22" xfId="0" applyFont="1" applyBorder="1" applyAlignment="1">
      <alignment horizontal="center" wrapText="1"/>
    </xf>
    <xf numFmtId="0" fontId="4" fillId="0" borderId="8" xfId="0" applyFont="1" applyBorder="1" applyAlignment="1">
      <alignment horizontal="center" wrapText="1"/>
    </xf>
    <xf numFmtId="0" fontId="0" fillId="18" borderId="69" xfId="7" applyFont="1" applyBorder="1" applyAlignment="1">
      <alignment horizontal="center" vertical="center"/>
    </xf>
    <xf numFmtId="176" fontId="0" fillId="16" borderId="79" xfId="0" applyNumberFormat="1" applyFill="1" applyBorder="1"/>
    <xf numFmtId="0" fontId="37" fillId="0" borderId="0" xfId="0" applyFont="1"/>
    <xf numFmtId="188" fontId="0" fillId="16" borderId="33" xfId="0" applyNumberFormat="1" applyFill="1" applyBorder="1"/>
    <xf numFmtId="179" fontId="1" fillId="29" borderId="7" xfId="13" applyNumberFormat="1" applyFont="1" applyFill="1" applyBorder="1" applyProtection="1">
      <protection locked="0"/>
    </xf>
    <xf numFmtId="188" fontId="0" fillId="0" borderId="7" xfId="0" applyNumberFormat="1" applyBorder="1"/>
    <xf numFmtId="0" fontId="0" fillId="0" borderId="52" xfId="0" applyBorder="1"/>
    <xf numFmtId="0" fontId="0" fillId="0" borderId="69" xfId="0" applyBorder="1"/>
    <xf numFmtId="0" fontId="9" fillId="0" borderId="69" xfId="5" applyBorder="1"/>
    <xf numFmtId="0" fontId="0" fillId="0" borderId="80" xfId="0" applyBorder="1"/>
    <xf numFmtId="0" fontId="0" fillId="0" borderId="30" xfId="0" applyBorder="1"/>
    <xf numFmtId="0" fontId="9" fillId="0" borderId="30" xfId="5" applyBorder="1"/>
    <xf numFmtId="1" fontId="1" fillId="29" borderId="7" xfId="13" applyNumberFormat="1" applyFont="1" applyFill="1" applyBorder="1" applyProtection="1">
      <protection locked="0"/>
    </xf>
    <xf numFmtId="0" fontId="4" fillId="0" borderId="47" xfId="0" applyFont="1" applyBorder="1" applyAlignment="1">
      <alignment horizontal="center"/>
    </xf>
    <xf numFmtId="0" fontId="4" fillId="0" borderId="0" xfId="0" applyFont="1" applyAlignment="1">
      <alignment horizontal="center"/>
    </xf>
    <xf numFmtId="0" fontId="4" fillId="0" borderId="48" xfId="0" applyFont="1" applyBorder="1" applyAlignment="1">
      <alignment horizontal="center"/>
    </xf>
    <xf numFmtId="0" fontId="0" fillId="38" borderId="0" xfId="0" applyFill="1"/>
    <xf numFmtId="0" fontId="44" fillId="0" borderId="0" xfId="0" applyFont="1"/>
    <xf numFmtId="0" fontId="45" fillId="0" borderId="0" xfId="0" applyFont="1"/>
    <xf numFmtId="0" fontId="46" fillId="0" borderId="0" xfId="0" applyFont="1"/>
    <xf numFmtId="0" fontId="47" fillId="0" borderId="0" xfId="0" applyFont="1"/>
    <xf numFmtId="0" fontId="0" fillId="39" borderId="0" xfId="0" applyFill="1"/>
    <xf numFmtId="0" fontId="0" fillId="40" borderId="0" xfId="0" applyFill="1"/>
    <xf numFmtId="0" fontId="0" fillId="41" borderId="0" xfId="0" applyFill="1"/>
    <xf numFmtId="0" fontId="48" fillId="0" borderId="0" xfId="0" applyFont="1"/>
    <xf numFmtId="164" fontId="48" fillId="0" borderId="0" xfId="18" applyFont="1"/>
    <xf numFmtId="0" fontId="0" fillId="0" borderId="0" xfId="0" applyAlignment="1">
      <alignment vertical="center" wrapText="1"/>
    </xf>
    <xf numFmtId="0" fontId="3" fillId="3" borderId="7" xfId="3" applyFont="1" applyBorder="1" applyAlignment="1"/>
    <xf numFmtId="0" fontId="0" fillId="0" borderId="7" xfId="0" applyBorder="1" applyAlignment="1">
      <alignment horizontal="center"/>
    </xf>
    <xf numFmtId="0" fontId="0" fillId="2" borderId="7" xfId="2" applyFont="1" applyBorder="1" applyAlignment="1">
      <alignment horizontal="center"/>
    </xf>
    <xf numFmtId="0" fontId="49" fillId="0" borderId="0" xfId="0" applyFont="1" applyAlignment="1">
      <alignment vertical="center"/>
    </xf>
    <xf numFmtId="0" fontId="50" fillId="0" borderId="0" xfId="0" applyFont="1" applyAlignment="1">
      <alignment vertical="center"/>
    </xf>
    <xf numFmtId="0" fontId="49" fillId="0" borderId="84" xfId="0" applyFont="1" applyBorder="1" applyAlignment="1">
      <alignment vertical="center"/>
    </xf>
    <xf numFmtId="0" fontId="49" fillId="0" borderId="85" xfId="0" applyFont="1" applyBorder="1" applyAlignment="1">
      <alignment vertical="center"/>
    </xf>
    <xf numFmtId="0" fontId="49" fillId="0" borderId="87" xfId="0" applyFont="1" applyBorder="1" applyAlignment="1">
      <alignment vertical="center"/>
    </xf>
    <xf numFmtId="0" fontId="49" fillId="0" borderId="88" xfId="0" applyFont="1" applyBorder="1" applyAlignment="1">
      <alignment vertical="center"/>
    </xf>
    <xf numFmtId="0" fontId="49" fillId="0" borderId="89" xfId="0" applyFont="1" applyBorder="1" applyAlignment="1">
      <alignment vertical="center"/>
    </xf>
    <xf numFmtId="0" fontId="49" fillId="0" borderId="90" xfId="0" applyFont="1" applyBorder="1" applyAlignment="1">
      <alignment vertical="center"/>
    </xf>
    <xf numFmtId="0" fontId="49" fillId="0" borderId="91" xfId="0" applyFont="1" applyBorder="1" applyAlignment="1">
      <alignment vertical="center"/>
    </xf>
    <xf numFmtId="0" fontId="49" fillId="0" borderId="92" xfId="0" applyFont="1" applyBorder="1" applyAlignment="1">
      <alignment vertical="center"/>
    </xf>
    <xf numFmtId="0" fontId="31" fillId="5" borderId="66" xfId="0" applyFont="1" applyFill="1" applyBorder="1" applyAlignment="1">
      <alignment horizontal="left"/>
    </xf>
    <xf numFmtId="0" fontId="26" fillId="5" borderId="9" xfId="0" applyFont="1" applyFill="1" applyBorder="1" applyAlignment="1">
      <alignment horizontal="left"/>
    </xf>
    <xf numFmtId="0" fontId="0" fillId="0" borderId="0" xfId="0" applyAlignment="1">
      <alignment horizontal="left" vertical="center" indent="1"/>
    </xf>
    <xf numFmtId="0" fontId="40" fillId="0" borderId="0" xfId="5" applyFont="1" applyAlignment="1">
      <alignment horizontal="right"/>
    </xf>
    <xf numFmtId="0" fontId="3" fillId="3" borderId="0" xfId="3" applyFont="1" applyAlignment="1"/>
    <xf numFmtId="0" fontId="1" fillId="4" borderId="0" xfId="4" applyAlignment="1"/>
    <xf numFmtId="0" fontId="37" fillId="0" borderId="7" xfId="0" applyFont="1" applyBorder="1"/>
    <xf numFmtId="0" fontId="37" fillId="0" borderId="8" xfId="0" applyFont="1" applyBorder="1"/>
    <xf numFmtId="0" fontId="26" fillId="5" borderId="10" xfId="0" applyFont="1" applyFill="1" applyBorder="1" applyAlignment="1">
      <alignment horizontal="left"/>
    </xf>
    <xf numFmtId="9" fontId="4" fillId="0" borderId="0" xfId="13" applyFont="1"/>
    <xf numFmtId="171" fontId="0" fillId="11" borderId="21" xfId="0" applyNumberFormat="1" applyFill="1" applyBorder="1" applyAlignment="1" applyProtection="1">
      <alignment horizontal="center"/>
      <protection locked="0"/>
    </xf>
    <xf numFmtId="182" fontId="0" fillId="16" borderId="93" xfId="0" applyNumberFormat="1" applyFill="1" applyBorder="1" applyAlignment="1">
      <alignment horizontal="center"/>
    </xf>
    <xf numFmtId="0" fontId="51" fillId="0" borderId="0" xfId="0" applyFont="1"/>
    <xf numFmtId="0" fontId="11" fillId="0" borderId="7" xfId="0" applyFont="1" applyBorder="1"/>
    <xf numFmtId="0" fontId="0" fillId="0" borderId="0" xfId="0" applyAlignment="1">
      <alignment vertical="center"/>
    </xf>
    <xf numFmtId="0" fontId="6" fillId="5" borderId="0" xfId="0" applyFont="1" applyFill="1" applyAlignment="1">
      <alignment horizontal="left"/>
    </xf>
    <xf numFmtId="171" fontId="0" fillId="0" borderId="0" xfId="0" applyNumberFormat="1" applyAlignment="1">
      <alignment horizontal="center"/>
    </xf>
    <xf numFmtId="0" fontId="0" fillId="0" borderId="69" xfId="0" applyBorder="1" applyAlignment="1">
      <alignment horizontal="left" vertical="top"/>
    </xf>
    <xf numFmtId="0" fontId="0" fillId="0" borderId="52" xfId="0" applyBorder="1" applyAlignment="1">
      <alignment horizontal="left" vertical="top"/>
    </xf>
    <xf numFmtId="0" fontId="49" fillId="0" borderId="94" xfId="0" applyFont="1" applyBorder="1" applyAlignment="1">
      <alignment vertical="center"/>
    </xf>
    <xf numFmtId="0" fontId="49" fillId="0" borderId="95" xfId="0" applyFont="1" applyBorder="1" applyAlignment="1">
      <alignment vertical="center"/>
    </xf>
    <xf numFmtId="0" fontId="49" fillId="0" borderId="96" xfId="0" applyFont="1" applyBorder="1" applyAlignment="1">
      <alignment vertical="center"/>
    </xf>
    <xf numFmtId="0" fontId="49" fillId="0" borderId="84" xfId="0" applyFont="1" applyBorder="1" applyAlignment="1">
      <alignment horizontal="center" vertical="center"/>
    </xf>
    <xf numFmtId="0" fontId="49" fillId="0" borderId="85" xfId="0" applyFont="1" applyBorder="1" applyAlignment="1">
      <alignment horizontal="center" vertical="center"/>
    </xf>
    <xf numFmtId="0" fontId="49" fillId="0" borderId="86" xfId="0" applyFont="1" applyBorder="1" applyAlignment="1">
      <alignment horizontal="center" vertical="center"/>
    </xf>
    <xf numFmtId="0" fontId="0" fillId="0" borderId="7" xfId="0" applyBorder="1" applyAlignment="1">
      <alignment wrapText="1"/>
    </xf>
    <xf numFmtId="190" fontId="0" fillId="0" borderId="7" xfId="0" applyNumberFormat="1" applyBorder="1" applyAlignment="1">
      <alignment horizontal="center"/>
    </xf>
    <xf numFmtId="0" fontId="0" fillId="0" borderId="100" xfId="0" applyBorder="1"/>
    <xf numFmtId="191" fontId="0" fillId="0" borderId="7" xfId="0" applyNumberFormat="1" applyBorder="1" applyAlignment="1">
      <alignment horizontal="center"/>
    </xf>
    <xf numFmtId="192" fontId="0" fillId="0" borderId="7" xfId="0" applyNumberFormat="1" applyBorder="1" applyAlignment="1">
      <alignment horizontal="center"/>
    </xf>
    <xf numFmtId="0" fontId="4" fillId="0" borderId="69" xfId="0" applyFont="1" applyBorder="1" applyAlignment="1">
      <alignment horizontal="center"/>
    </xf>
    <xf numFmtId="190" fontId="4" fillId="0" borderId="70" xfId="0" applyNumberFormat="1" applyFont="1" applyBorder="1" applyAlignment="1">
      <alignment horizontal="center"/>
    </xf>
    <xf numFmtId="176" fontId="4" fillId="0" borderId="70" xfId="0" applyNumberFormat="1" applyFont="1" applyBorder="1" applyAlignment="1">
      <alignment horizontal="center"/>
    </xf>
    <xf numFmtId="0" fontId="9" fillId="0" borderId="7" xfId="5" applyBorder="1" applyAlignment="1">
      <alignment horizontal="fill"/>
    </xf>
    <xf numFmtId="9" fontId="0" fillId="2" borderId="4" xfId="13" applyFont="1" applyFill="1" applyBorder="1" applyProtection="1">
      <protection locked="0"/>
    </xf>
    <xf numFmtId="0" fontId="52" fillId="0" borderId="0" xfId="0" applyFont="1" applyAlignment="1">
      <alignment horizontal="left"/>
    </xf>
    <xf numFmtId="0" fontId="17" fillId="24" borderId="11" xfId="15" applyAlignment="1">
      <alignment horizontal="center"/>
    </xf>
    <xf numFmtId="0" fontId="40" fillId="0" borderId="0" xfId="5" applyFont="1" applyAlignment="1">
      <alignment horizontal="center" vertical="center" wrapText="1"/>
    </xf>
    <xf numFmtId="193" fontId="0" fillId="16" borderId="35" xfId="0" applyNumberFormat="1" applyFill="1" applyBorder="1" applyAlignment="1">
      <alignment horizontal="center"/>
    </xf>
    <xf numFmtId="194" fontId="0" fillId="16" borderId="38" xfId="0" applyNumberFormat="1" applyFill="1" applyBorder="1" applyAlignment="1">
      <alignment horizontal="center"/>
    </xf>
    <xf numFmtId="0" fontId="52" fillId="0" borderId="103" xfId="0" applyFont="1" applyBorder="1" applyAlignment="1">
      <alignment horizontal="left"/>
    </xf>
    <xf numFmtId="0" fontId="49" fillId="0" borderId="104" xfId="0" applyFont="1" applyBorder="1" applyAlignment="1">
      <alignment vertical="center"/>
    </xf>
    <xf numFmtId="0" fontId="49" fillId="0" borderId="105" xfId="0" applyFont="1" applyBorder="1" applyAlignment="1">
      <alignment vertical="center"/>
    </xf>
    <xf numFmtId="0" fontId="49" fillId="0" borderId="106" xfId="0" applyFont="1" applyBorder="1" applyAlignment="1">
      <alignment vertical="center"/>
    </xf>
    <xf numFmtId="0" fontId="49" fillId="0" borderId="35" xfId="0" applyFont="1" applyBorder="1" applyAlignment="1">
      <alignment vertical="center"/>
    </xf>
    <xf numFmtId="0" fontId="53" fillId="0" borderId="0" xfId="0" applyFont="1"/>
    <xf numFmtId="0" fontId="54" fillId="0" borderId="0" xfId="0" applyFont="1"/>
    <xf numFmtId="0" fontId="49" fillId="0" borderId="107" xfId="0" applyFont="1" applyBorder="1" applyAlignment="1">
      <alignment vertical="center"/>
    </xf>
    <xf numFmtId="3" fontId="4" fillId="16" borderId="38" xfId="0" applyNumberFormat="1" applyFont="1" applyFill="1" applyBorder="1" applyAlignment="1">
      <alignment horizontal="center"/>
    </xf>
    <xf numFmtId="0" fontId="55" fillId="0" borderId="0" xfId="0" applyFont="1"/>
    <xf numFmtId="9" fontId="0" fillId="11" borderId="7" xfId="13" applyFont="1" applyFill="1" applyBorder="1" applyAlignment="1" applyProtection="1">
      <alignment horizontal="center"/>
      <protection locked="0"/>
    </xf>
    <xf numFmtId="0" fontId="17" fillId="24" borderId="7" xfId="15" applyBorder="1" applyAlignment="1">
      <alignment horizontal="center"/>
    </xf>
    <xf numFmtId="186" fontId="4" fillId="16" borderId="7" xfId="0" applyNumberFormat="1" applyFont="1" applyFill="1" applyBorder="1" applyAlignment="1">
      <alignment horizontal="center"/>
    </xf>
    <xf numFmtId="1" fontId="17" fillId="24" borderId="7" xfId="15" applyNumberFormat="1" applyBorder="1" applyAlignment="1">
      <alignment horizontal="center"/>
    </xf>
    <xf numFmtId="183" fontId="4" fillId="16" borderId="38" xfId="0" applyNumberFormat="1" applyFont="1" applyFill="1" applyBorder="1" applyAlignment="1">
      <alignment horizontal="center"/>
    </xf>
    <xf numFmtId="183" fontId="4" fillId="16" borderId="7" xfId="0" applyNumberFormat="1" applyFont="1" applyFill="1" applyBorder="1" applyAlignment="1">
      <alignment horizontal="center"/>
    </xf>
    <xf numFmtId="0" fontId="4" fillId="0" borderId="26" xfId="0" applyFont="1" applyBorder="1"/>
    <xf numFmtId="0" fontId="4" fillId="0" borderId="17" xfId="0" applyFont="1" applyBorder="1"/>
    <xf numFmtId="0" fontId="4" fillId="0" borderId="26" xfId="0" applyFont="1" applyBorder="1" applyAlignment="1">
      <alignment wrapText="1"/>
    </xf>
    <xf numFmtId="0" fontId="4" fillId="0" borderId="17" xfId="0" applyFont="1" applyBorder="1" applyAlignment="1">
      <alignment wrapText="1"/>
    </xf>
    <xf numFmtId="0" fontId="0" fillId="0" borderId="7" xfId="0" applyBorder="1" applyAlignment="1">
      <alignment horizontal="center" wrapText="1"/>
    </xf>
    <xf numFmtId="195" fontId="17" fillId="24" borderId="11" xfId="15" applyNumberFormat="1" applyAlignment="1">
      <alignment horizontal="center"/>
    </xf>
    <xf numFmtId="3" fontId="0" fillId="11" borderId="7" xfId="0" applyNumberFormat="1" applyFill="1" applyBorder="1" applyAlignment="1" applyProtection="1">
      <alignment horizontal="center"/>
      <protection locked="0"/>
    </xf>
    <xf numFmtId="3" fontId="0" fillId="11" borderId="68" xfId="0" applyNumberFormat="1" applyFill="1" applyBorder="1" applyAlignment="1" applyProtection="1">
      <alignment horizontal="center"/>
      <protection locked="0"/>
    </xf>
    <xf numFmtId="177" fontId="4" fillId="16" borderId="7" xfId="0" applyNumberFormat="1" applyFont="1" applyFill="1" applyBorder="1" applyAlignment="1">
      <alignment horizontal="center"/>
    </xf>
    <xf numFmtId="196" fontId="17" fillId="24" borderId="11" xfId="15" applyNumberFormat="1" applyAlignment="1">
      <alignment horizontal="center"/>
    </xf>
    <xf numFmtId="197" fontId="0" fillId="16" borderId="7" xfId="0" applyNumberFormat="1" applyFill="1" applyBorder="1" applyAlignment="1">
      <alignment horizontal="center"/>
    </xf>
    <xf numFmtId="3" fontId="17" fillId="24" borderId="11" xfId="15" applyNumberFormat="1" applyAlignment="1">
      <alignment horizontal="center"/>
    </xf>
    <xf numFmtId="9" fontId="0" fillId="11" borderId="68" xfId="13" applyFont="1" applyFill="1" applyBorder="1" applyAlignment="1" applyProtection="1">
      <alignment horizontal="center"/>
      <protection locked="0"/>
    </xf>
    <xf numFmtId="190" fontId="17" fillId="24" borderId="11" xfId="15" applyNumberFormat="1" applyAlignment="1">
      <alignment horizontal="center"/>
    </xf>
    <xf numFmtId="199" fontId="0" fillId="16" borderId="7" xfId="0" applyNumberFormat="1" applyFill="1" applyBorder="1" applyAlignment="1">
      <alignment horizontal="center"/>
    </xf>
    <xf numFmtId="198" fontId="17" fillId="24" borderId="11" xfId="15" applyNumberFormat="1" applyAlignment="1">
      <alignment horizontal="center"/>
    </xf>
    <xf numFmtId="0" fontId="0" fillId="0" borderId="0" xfId="0" applyAlignment="1">
      <alignment horizontal="left" vertical="top" wrapText="1"/>
    </xf>
    <xf numFmtId="177" fontId="0" fillId="16" borderId="7" xfId="0" applyNumberFormat="1" applyFill="1" applyBorder="1" applyAlignment="1">
      <alignment horizontal="center"/>
    </xf>
    <xf numFmtId="0" fontId="52" fillId="0" borderId="110" xfId="0" applyFont="1" applyBorder="1" applyAlignment="1">
      <alignment horizontal="left"/>
    </xf>
    <xf numFmtId="0" fontId="52" fillId="0" borderId="111" xfId="0" applyFont="1" applyBorder="1" applyAlignment="1">
      <alignment horizontal="left"/>
    </xf>
    <xf numFmtId="0" fontId="3" fillId="41" borderId="7" xfId="10" applyFont="1" applyFill="1" applyBorder="1" applyAlignment="1">
      <alignment wrapText="1"/>
    </xf>
    <xf numFmtId="0" fontId="4" fillId="5" borderId="112" xfId="0" applyFont="1" applyFill="1" applyBorder="1"/>
    <xf numFmtId="0" fontId="0" fillId="5" borderId="113" xfId="0" applyFill="1" applyBorder="1"/>
    <xf numFmtId="0" fontId="0" fillId="5" borderId="114" xfId="0" applyFill="1" applyBorder="1"/>
    <xf numFmtId="0" fontId="3" fillId="3" borderId="32" xfId="3" applyFont="1" applyBorder="1" applyAlignment="1"/>
    <xf numFmtId="0" fontId="3" fillId="3" borderId="33" xfId="3" applyFont="1" applyBorder="1" applyAlignment="1"/>
    <xf numFmtId="0" fontId="0" fillId="0" borderId="33" xfId="0" applyBorder="1" applyAlignment="1">
      <alignment horizontal="center"/>
    </xf>
    <xf numFmtId="0" fontId="0" fillId="2" borderId="77" xfId="2" applyFont="1" applyBorder="1"/>
    <xf numFmtId="0" fontId="0" fillId="2" borderId="78" xfId="2" applyFont="1" applyBorder="1" applyAlignment="1">
      <alignment horizontal="center"/>
    </xf>
    <xf numFmtId="0" fontId="0" fillId="2" borderId="34" xfId="2" applyFont="1" applyBorder="1" applyAlignment="1">
      <alignment horizontal="center"/>
    </xf>
    <xf numFmtId="0" fontId="0" fillId="2" borderId="32" xfId="2" applyFont="1" applyBorder="1"/>
    <xf numFmtId="0" fontId="0" fillId="2" borderId="33" xfId="2" applyFont="1" applyBorder="1" applyAlignment="1">
      <alignment horizontal="center"/>
    </xf>
    <xf numFmtId="0" fontId="11" fillId="0" borderId="32" xfId="0" applyFont="1" applyBorder="1"/>
    <xf numFmtId="0" fontId="0" fillId="0" borderId="112" xfId="0" applyBorder="1"/>
    <xf numFmtId="0" fontId="0" fillId="0" borderId="113" xfId="0" applyBorder="1"/>
    <xf numFmtId="0" fontId="0" fillId="0" borderId="114" xfId="0" applyBorder="1"/>
    <xf numFmtId="0" fontId="0" fillId="0" borderId="32"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0" fillId="0" borderId="34" xfId="0" applyBorder="1" applyAlignment="1">
      <alignment horizontal="center"/>
    </xf>
    <xf numFmtId="0" fontId="53" fillId="0" borderId="109" xfId="0" applyFont="1" applyBorder="1"/>
    <xf numFmtId="0" fontId="53" fillId="0" borderId="111" xfId="0" applyFont="1" applyBorder="1"/>
    <xf numFmtId="0" fontId="16" fillId="0" borderId="108" xfId="20"/>
    <xf numFmtId="9" fontId="17" fillId="24" borderId="7" xfId="15" applyNumberFormat="1" applyBorder="1" applyAlignment="1" applyProtection="1">
      <alignment horizontal="center"/>
    </xf>
    <xf numFmtId="9" fontId="0" fillId="0" borderId="7" xfId="0" applyNumberFormat="1" applyBorder="1"/>
    <xf numFmtId="9" fontId="4" fillId="16" borderId="7" xfId="13" applyFont="1" applyFill="1" applyBorder="1"/>
    <xf numFmtId="0" fontId="0" fillId="42" borderId="0" xfId="0" applyFill="1"/>
    <xf numFmtId="0" fontId="0" fillId="16" borderId="26" xfId="0" applyFill="1" applyBorder="1" applyProtection="1">
      <protection locked="0"/>
    </xf>
    <xf numFmtId="0" fontId="12" fillId="0" borderId="115" xfId="0" applyFont="1" applyBorder="1" applyAlignment="1" applyProtection="1">
      <alignment horizontal="center" vertical="center" wrapText="1"/>
      <protection locked="0"/>
    </xf>
    <xf numFmtId="22" fontId="12" fillId="11" borderId="7" xfId="0" applyNumberFormat="1" applyFont="1" applyFill="1" applyBorder="1" applyAlignment="1" applyProtection="1">
      <alignment horizontal="right" wrapText="1"/>
      <protection locked="0"/>
    </xf>
    <xf numFmtId="0" fontId="12" fillId="11" borderId="7" xfId="0" applyFont="1" applyFill="1" applyBorder="1" applyAlignment="1" applyProtection="1">
      <alignment wrapText="1"/>
      <protection locked="0"/>
    </xf>
    <xf numFmtId="0" fontId="12" fillId="11" borderId="7" xfId="0" applyFont="1" applyFill="1" applyBorder="1" applyAlignment="1" applyProtection="1">
      <alignment horizontal="right" wrapText="1"/>
      <protection locked="0"/>
    </xf>
    <xf numFmtId="0" fontId="12" fillId="11" borderId="7" xfId="0" applyFont="1" applyFill="1" applyBorder="1" applyAlignment="1" applyProtection="1">
      <alignment horizontal="left" vertical="top"/>
      <protection locked="0"/>
    </xf>
    <xf numFmtId="18" fontId="12" fillId="11" borderId="7" xfId="0" applyNumberFormat="1" applyFont="1" applyFill="1" applyBorder="1" applyAlignment="1" applyProtection="1">
      <alignment wrapText="1"/>
      <protection locked="0"/>
    </xf>
    <xf numFmtId="0" fontId="12" fillId="11" borderId="7" xfId="0" applyFont="1" applyFill="1" applyBorder="1" applyAlignment="1" applyProtection="1">
      <alignment vertical="center"/>
      <protection locked="0"/>
    </xf>
    <xf numFmtId="12" fontId="12" fillId="11" borderId="7" xfId="0" applyNumberFormat="1" applyFont="1" applyFill="1" applyBorder="1" applyAlignment="1" applyProtection="1">
      <alignment wrapText="1"/>
      <protection locked="0"/>
    </xf>
    <xf numFmtId="0" fontId="12" fillId="11" borderId="7" xfId="0" applyFont="1" applyFill="1" applyBorder="1" applyAlignment="1" applyProtection="1">
      <alignment vertical="center" wrapText="1"/>
      <protection locked="0"/>
    </xf>
    <xf numFmtId="0" fontId="12" fillId="11" borderId="7" xfId="0" applyFont="1" applyFill="1" applyBorder="1" applyAlignment="1" applyProtection="1">
      <alignment horizontal="right"/>
      <protection locked="0"/>
    </xf>
    <xf numFmtId="22" fontId="12" fillId="11" borderId="7" xfId="0" applyNumberFormat="1" applyFont="1" applyFill="1" applyBorder="1" applyAlignment="1" applyProtection="1">
      <alignment horizontal="right"/>
      <protection locked="0"/>
    </xf>
    <xf numFmtId="0" fontId="12" fillId="11" borderId="7" xfId="0" applyFont="1" applyFill="1" applyBorder="1" applyProtection="1">
      <protection locked="0"/>
    </xf>
    <xf numFmtId="18" fontId="12" fillId="11" borderId="7" xfId="0" applyNumberFormat="1" applyFont="1" applyFill="1" applyBorder="1" applyProtection="1">
      <protection locked="0"/>
    </xf>
    <xf numFmtId="0" fontId="55" fillId="0" borderId="116" xfId="0" applyFont="1" applyBorder="1"/>
    <xf numFmtId="0" fontId="53" fillId="0" borderId="116" xfId="0" applyFont="1" applyBorder="1"/>
    <xf numFmtId="0" fontId="11" fillId="0" borderId="117" xfId="0" applyFont="1" applyBorder="1"/>
    <xf numFmtId="0" fontId="0" fillId="0" borderId="118" xfId="0" applyBorder="1"/>
    <xf numFmtId="0" fontId="53" fillId="0" borderId="118" xfId="0" applyFont="1" applyBorder="1"/>
    <xf numFmtId="167" fontId="1" fillId="11" borderId="119" xfId="12" applyNumberFormat="1" applyFont="1" applyFill="1" applyBorder="1" applyProtection="1">
      <protection locked="0"/>
    </xf>
    <xf numFmtId="166" fontId="1" fillId="11" borderId="119" xfId="12" applyNumberFormat="1" applyFont="1" applyFill="1" applyBorder="1" applyProtection="1">
      <protection locked="0"/>
    </xf>
    <xf numFmtId="189" fontId="1" fillId="16" borderId="119" xfId="12" applyNumberFormat="1" applyFont="1" applyFill="1" applyBorder="1" applyProtection="1"/>
    <xf numFmtId="0" fontId="0" fillId="2" borderId="120" xfId="2" applyFont="1" applyBorder="1" applyAlignment="1" applyProtection="1">
      <alignment horizontal="center"/>
      <protection locked="0"/>
    </xf>
    <xf numFmtId="3" fontId="0" fillId="2" borderId="3" xfId="2" applyNumberFormat="1" applyFont="1" applyAlignment="1" applyProtection="1">
      <alignment horizontal="center"/>
      <protection locked="0"/>
    </xf>
    <xf numFmtId="3" fontId="0" fillId="0" borderId="0" xfId="0" applyNumberFormat="1" applyAlignment="1">
      <alignment horizontal="center"/>
    </xf>
    <xf numFmtId="0" fontId="0" fillId="2" borderId="121" xfId="2" applyFont="1" applyBorder="1" applyAlignment="1" applyProtection="1">
      <alignment horizontal="center"/>
      <protection locked="0"/>
    </xf>
    <xf numFmtId="1" fontId="0" fillId="11" borderId="121" xfId="0" applyNumberFormat="1" applyFill="1" applyBorder="1" applyProtection="1">
      <protection locked="0"/>
    </xf>
    <xf numFmtId="0" fontId="4" fillId="2" borderId="121" xfId="2" applyFont="1" applyBorder="1" applyAlignment="1" applyProtection="1">
      <alignment horizontal="center"/>
      <protection locked="0"/>
    </xf>
    <xf numFmtId="171" fontId="0" fillId="11" borderId="123" xfId="0" applyNumberFormat="1" applyFill="1" applyBorder="1" applyAlignment="1" applyProtection="1">
      <alignment horizontal="center"/>
      <protection locked="0"/>
    </xf>
    <xf numFmtId="0" fontId="4" fillId="2" borderId="122" xfId="2" applyFont="1" applyBorder="1" applyAlignment="1" applyProtection="1">
      <protection locked="0"/>
    </xf>
    <xf numFmtId="0" fontId="4" fillId="2" borderId="122" xfId="2" applyFont="1" applyBorder="1" applyAlignment="1" applyProtection="1">
      <alignment horizontal="left"/>
      <protection locked="0"/>
    </xf>
    <xf numFmtId="0" fontId="4" fillId="2" borderId="122" xfId="2" applyFont="1" applyBorder="1" applyAlignment="1" applyProtection="1">
      <alignment horizontal="center"/>
      <protection locked="0"/>
    </xf>
    <xf numFmtId="0" fontId="0" fillId="0" borderId="125" xfId="0" applyBorder="1"/>
    <xf numFmtId="0" fontId="53" fillId="0" borderId="125" xfId="0" applyFont="1" applyBorder="1"/>
    <xf numFmtId="3" fontId="0" fillId="11" borderId="69" xfId="0" applyNumberFormat="1" applyFill="1" applyBorder="1" applyAlignment="1" applyProtection="1">
      <alignment horizontal="center"/>
      <protection locked="0"/>
    </xf>
    <xf numFmtId="3" fontId="0" fillId="11" borderId="124" xfId="0" applyNumberFormat="1" applyFill="1" applyBorder="1" applyAlignment="1" applyProtection="1">
      <alignment horizontal="center"/>
      <protection locked="0"/>
    </xf>
    <xf numFmtId="0" fontId="15" fillId="0" borderId="126" xfId="14" applyBorder="1"/>
    <xf numFmtId="0" fontId="4" fillId="2" borderId="121" xfId="2" applyFont="1" applyBorder="1" applyAlignment="1" applyProtection="1">
      <alignment horizontal="left"/>
      <protection locked="0"/>
    </xf>
    <xf numFmtId="0" fontId="0" fillId="5" borderId="127" xfId="0" applyFill="1" applyBorder="1"/>
    <xf numFmtId="0" fontId="26" fillId="5" borderId="127" xfId="0" applyFont="1" applyFill="1" applyBorder="1" applyAlignment="1">
      <alignment horizontal="left" indent="2"/>
    </xf>
    <xf numFmtId="0" fontId="26" fillId="5" borderId="127" xfId="0" applyFont="1" applyFill="1" applyBorder="1" applyAlignment="1">
      <alignment horizontal="left"/>
    </xf>
    <xf numFmtId="0" fontId="0" fillId="5" borderId="126" xfId="0" applyFill="1" applyBorder="1"/>
    <xf numFmtId="0" fontId="31" fillId="5" borderId="126" xfId="0" applyFont="1" applyFill="1" applyBorder="1" applyAlignment="1">
      <alignment horizontal="left"/>
    </xf>
    <xf numFmtId="0" fontId="0" fillId="28" borderId="7" xfId="7" applyFont="1" applyFill="1" applyBorder="1" applyAlignment="1">
      <alignment horizontal="center" vertical="center" wrapText="1"/>
    </xf>
    <xf numFmtId="0" fontId="4" fillId="22" borderId="7" xfId="11" applyFont="1" applyBorder="1" applyAlignment="1">
      <alignment horizontal="center" vertical="center" wrapText="1"/>
    </xf>
    <xf numFmtId="3" fontId="0" fillId="0" borderId="7" xfId="0" applyNumberFormat="1" applyBorder="1" applyAlignment="1">
      <alignment horizontal="center"/>
    </xf>
    <xf numFmtId="0" fontId="0" fillId="0" borderId="69" xfId="0" applyBorder="1" applyAlignment="1">
      <alignment horizontal="left" indent="2"/>
    </xf>
    <xf numFmtId="0" fontId="0" fillId="0" borderId="8" xfId="0" applyBorder="1" applyAlignment="1">
      <alignment horizontal="left" indent="2"/>
    </xf>
    <xf numFmtId="0" fontId="0" fillId="0" borderId="70" xfId="0" applyBorder="1" applyAlignment="1">
      <alignment horizontal="left" indent="2"/>
    </xf>
    <xf numFmtId="9" fontId="17" fillId="24" borderId="11" xfId="13" applyFont="1" applyFill="1" applyBorder="1" applyAlignment="1">
      <alignment horizontal="center"/>
    </xf>
    <xf numFmtId="193" fontId="0" fillId="0" borderId="7" xfId="0" applyNumberFormat="1" applyBorder="1"/>
    <xf numFmtId="0" fontId="0" fillId="0" borderId="128" xfId="0" applyBorder="1" applyAlignment="1">
      <alignment horizontal="center" vertical="center" wrapText="1"/>
    </xf>
    <xf numFmtId="0" fontId="0" fillId="0" borderId="129" xfId="0" applyBorder="1" applyAlignment="1">
      <alignment horizontal="center" vertical="center" wrapText="1"/>
    </xf>
    <xf numFmtId="0" fontId="53" fillId="0" borderId="130" xfId="0" applyFont="1" applyBorder="1"/>
    <xf numFmtId="0" fontId="56" fillId="0" borderId="131" xfId="1" applyFont="1" applyBorder="1"/>
    <xf numFmtId="0" fontId="57" fillId="0" borderId="131" xfId="1" applyFont="1" applyBorder="1"/>
    <xf numFmtId="3" fontId="0" fillId="0" borderId="8" xfId="0" applyNumberFormat="1" applyBorder="1" applyAlignment="1">
      <alignment horizontal="center"/>
    </xf>
    <xf numFmtId="0" fontId="4" fillId="0" borderId="8" xfId="0" applyFont="1" applyBorder="1" applyAlignment="1">
      <alignment horizontal="center"/>
    </xf>
    <xf numFmtId="0" fontId="58" fillId="0" borderId="0" xfId="0" applyFont="1"/>
    <xf numFmtId="0" fontId="11" fillId="0" borderId="0" xfId="0" applyFont="1" applyAlignment="1">
      <alignment horizontal="left" indent="3"/>
    </xf>
    <xf numFmtId="0" fontId="11" fillId="0" borderId="0" xfId="0" applyFont="1" applyAlignment="1">
      <alignment horizontal="left" indent="2"/>
    </xf>
    <xf numFmtId="0" fontId="0" fillId="0" borderId="70" xfId="0" applyBorder="1"/>
    <xf numFmtId="0" fontId="58" fillId="0" borderId="0" xfId="0" applyFont="1" applyAlignment="1">
      <alignment vertical="top"/>
    </xf>
    <xf numFmtId="0" fontId="58" fillId="0" borderId="0" xfId="0" applyFont="1" applyAlignment="1">
      <alignment horizontal="left" vertical="top" indent="2"/>
    </xf>
    <xf numFmtId="0" fontId="58" fillId="0" borderId="0" xfId="0" applyFont="1" applyAlignment="1">
      <alignment horizontal="left" indent="2"/>
    </xf>
    <xf numFmtId="0" fontId="59" fillId="0" borderId="0" xfId="0" applyFont="1" applyAlignment="1">
      <alignment horizontal="left" indent="2"/>
    </xf>
    <xf numFmtId="0" fontId="57" fillId="0" borderId="131" xfId="0" applyFont="1" applyBorder="1"/>
    <xf numFmtId="0" fontId="57" fillId="0" borderId="131" xfId="0" applyFont="1" applyBorder="1" applyAlignment="1">
      <alignment horizontal="left" indent="1"/>
    </xf>
    <xf numFmtId="0" fontId="60" fillId="0" borderId="131" xfId="0" applyFont="1" applyBorder="1"/>
    <xf numFmtId="0" fontId="59" fillId="0" borderId="57" xfId="0" applyFont="1" applyBorder="1" applyAlignment="1">
      <alignment horizontal="left" indent="2"/>
    </xf>
    <xf numFmtId="0" fontId="61" fillId="0" borderId="57" xfId="0" applyFont="1" applyBorder="1"/>
    <xf numFmtId="0" fontId="0" fillId="0" borderId="47" xfId="0" applyBorder="1" applyAlignment="1">
      <alignment vertical="center" wrapText="1"/>
    </xf>
    <xf numFmtId="0" fontId="0" fillId="0" borderId="48" xfId="0" applyBorder="1" applyAlignment="1">
      <alignment vertical="center" wrapText="1"/>
    </xf>
    <xf numFmtId="0" fontId="59" fillId="0" borderId="0" xfId="0" applyFont="1" applyAlignment="1">
      <alignment horizontal="left" indent="3"/>
    </xf>
    <xf numFmtId="169" fontId="4" fillId="16" borderId="7" xfId="0" applyNumberFormat="1" applyFont="1" applyFill="1" applyBorder="1"/>
    <xf numFmtId="166" fontId="0" fillId="0" borderId="0" xfId="0" applyNumberFormat="1"/>
    <xf numFmtId="200" fontId="17" fillId="24" borderId="11" xfId="15" applyNumberFormat="1" applyAlignment="1">
      <alignment horizontal="center"/>
    </xf>
    <xf numFmtId="201" fontId="0" fillId="16" borderId="7" xfId="0" applyNumberFormat="1" applyFill="1" applyBorder="1" applyAlignment="1">
      <alignment horizontal="center"/>
    </xf>
    <xf numFmtId="201" fontId="0" fillId="16" borderId="7" xfId="0" applyNumberFormat="1" applyFill="1" applyBorder="1" applyAlignment="1">
      <alignment horizontal="right"/>
    </xf>
    <xf numFmtId="202" fontId="17" fillId="24" borderId="11" xfId="15" applyNumberFormat="1"/>
    <xf numFmtId="0" fontId="4" fillId="43" borderId="132" xfId="0" applyFont="1" applyFill="1" applyBorder="1" applyAlignment="1">
      <alignment horizontal="center" vertical="center" wrapText="1"/>
    </xf>
    <xf numFmtId="0" fontId="4" fillId="44" borderId="132" xfId="0" applyFont="1" applyFill="1" applyBorder="1" applyAlignment="1">
      <alignment horizontal="center" vertical="center" wrapText="1"/>
    </xf>
    <xf numFmtId="0" fontId="4" fillId="45" borderId="132" xfId="0" applyFont="1" applyFill="1" applyBorder="1" applyAlignment="1">
      <alignment horizontal="center" vertical="center" wrapText="1"/>
    </xf>
    <xf numFmtId="0" fontId="4" fillId="46" borderId="132" xfId="0" applyFont="1" applyFill="1" applyBorder="1" applyAlignment="1">
      <alignment horizontal="center" vertical="center" wrapText="1"/>
    </xf>
    <xf numFmtId="0" fontId="4" fillId="47" borderId="132" xfId="0" applyFont="1" applyFill="1" applyBorder="1" applyAlignment="1">
      <alignment horizontal="center" vertical="center" wrapText="1"/>
    </xf>
    <xf numFmtId="0" fontId="4" fillId="48" borderId="132" xfId="0" applyFont="1" applyFill="1" applyBorder="1" applyAlignment="1">
      <alignment horizontal="center" vertical="center" wrapText="1"/>
    </xf>
    <xf numFmtId="0" fontId="4" fillId="49" borderId="133" xfId="0" applyFont="1" applyFill="1" applyBorder="1" applyAlignment="1">
      <alignment horizontal="center" vertical="center" wrapText="1"/>
    </xf>
    <xf numFmtId="203" fontId="17" fillId="24" borderId="11" xfId="15" applyNumberFormat="1"/>
    <xf numFmtId="0" fontId="62" fillId="0" borderId="131" xfId="14" applyFont="1" applyBorder="1"/>
    <xf numFmtId="0" fontId="56" fillId="0" borderId="131" xfId="1" applyFont="1" applyBorder="1" applyAlignment="1">
      <alignment horizontal="center"/>
    </xf>
    <xf numFmtId="0" fontId="4" fillId="0" borderId="134" xfId="1" applyFont="1" applyBorder="1"/>
    <xf numFmtId="0" fontId="0" fillId="0" borderId="7" xfId="0" applyBorder="1" applyAlignment="1">
      <alignment horizontal="fill"/>
    </xf>
    <xf numFmtId="0" fontId="15" fillId="0" borderId="126" xfId="14" applyBorder="1" applyAlignment="1">
      <alignment horizontal="center"/>
    </xf>
    <xf numFmtId="0" fontId="0" fillId="0" borderId="0" xfId="0" applyAlignment="1">
      <alignment horizontal="fill"/>
    </xf>
    <xf numFmtId="0" fontId="0" fillId="0" borderId="7" xfId="0" applyBorder="1" applyAlignment="1">
      <alignment horizontal="left" indent="1"/>
    </xf>
    <xf numFmtId="194" fontId="0" fillId="16" borderId="135" xfId="0" applyNumberFormat="1" applyFill="1" applyBorder="1" applyAlignment="1">
      <alignment horizontal="center"/>
    </xf>
    <xf numFmtId="204" fontId="0" fillId="0" borderId="0" xfId="0" applyNumberFormat="1"/>
    <xf numFmtId="193" fontId="4" fillId="16" borderId="35" xfId="0" applyNumberFormat="1" applyFont="1" applyFill="1" applyBorder="1" applyAlignment="1">
      <alignment horizontal="center"/>
    </xf>
    <xf numFmtId="0" fontId="4" fillId="50" borderId="40" xfId="0" applyFont="1" applyFill="1" applyBorder="1" applyAlignment="1">
      <alignment horizontal="center" vertical="center" wrapText="1"/>
    </xf>
    <xf numFmtId="205" fontId="4" fillId="16" borderId="35" xfId="0" applyNumberFormat="1" applyFont="1" applyFill="1" applyBorder="1" applyAlignment="1">
      <alignment horizontal="center"/>
    </xf>
    <xf numFmtId="0" fontId="0" fillId="0" borderId="67" xfId="0" applyBorder="1"/>
    <xf numFmtId="0" fontId="63" fillId="0" borderId="0" xfId="0" applyFont="1" applyAlignment="1">
      <alignment horizontal="left"/>
    </xf>
    <xf numFmtId="0" fontId="0" fillId="0" borderId="7" xfId="0" applyBorder="1" applyAlignment="1">
      <alignment horizontal="center" vertical="center"/>
    </xf>
    <xf numFmtId="0" fontId="0" fillId="0" borderId="7" xfId="0" applyBorder="1" applyAlignment="1">
      <alignment horizontal="center" vertical="center" wrapText="1"/>
    </xf>
    <xf numFmtId="198" fontId="0" fillId="0" borderId="7" xfId="0" applyNumberFormat="1" applyBorder="1"/>
    <xf numFmtId="187" fontId="4" fillId="0" borderId="7" xfId="0" applyNumberFormat="1" applyFont="1" applyBorder="1"/>
    <xf numFmtId="0" fontId="63" fillId="0" borderId="0" xfId="0" applyFont="1" applyAlignment="1">
      <alignment horizontal="left" indent="1"/>
    </xf>
    <xf numFmtId="3" fontId="0" fillId="0" borderId="0" xfId="0" applyNumberFormat="1" applyProtection="1">
      <protection locked="0"/>
    </xf>
    <xf numFmtId="3" fontId="4" fillId="0" borderId="0" xfId="0" applyNumberFormat="1" applyFont="1" applyProtection="1">
      <protection locked="0"/>
    </xf>
    <xf numFmtId="9" fontId="0" fillId="0" borderId="0" xfId="0" applyNumberFormat="1" applyProtection="1">
      <protection locked="0"/>
    </xf>
    <xf numFmtId="0" fontId="40" fillId="0" borderId="0" xfId="5" applyFont="1" applyAlignment="1">
      <alignment horizontal="left" indent="2"/>
    </xf>
    <xf numFmtId="0" fontId="64" fillId="0" borderId="0" xfId="0" applyFont="1" applyAlignment="1">
      <alignment horizontal="left" indent="1"/>
    </xf>
    <xf numFmtId="0" fontId="42" fillId="0" borderId="0" xfId="0" applyFont="1"/>
    <xf numFmtId="14" fontId="17" fillId="24" borderId="7" xfId="15" applyNumberFormat="1" applyBorder="1" applyAlignment="1" applyProtection="1">
      <alignment horizontal="center"/>
    </xf>
    <xf numFmtId="0" fontId="0" fillId="26" borderId="26" xfId="0" applyFill="1" applyBorder="1" applyAlignment="1">
      <alignment horizontal="center" vertical="top" wrapText="1"/>
    </xf>
    <xf numFmtId="0" fontId="0" fillId="26" borderId="67" xfId="0" applyFill="1" applyBorder="1" applyAlignment="1">
      <alignment horizontal="center" vertical="top" wrapText="1"/>
    </xf>
    <xf numFmtId="0" fontId="0" fillId="26" borderId="17" xfId="0" applyFill="1" applyBorder="1" applyAlignment="1">
      <alignment horizontal="center" vertical="top" wrapText="1"/>
    </xf>
    <xf numFmtId="0" fontId="17" fillId="24" borderId="7" xfId="15" applyBorder="1" applyAlignment="1" applyProtection="1">
      <alignment horizontal="center"/>
    </xf>
    <xf numFmtId="0" fontId="17" fillId="24" borderId="7" xfId="15" quotePrefix="1" applyBorder="1" applyAlignment="1" applyProtection="1">
      <alignment horizontal="center"/>
    </xf>
    <xf numFmtId="0" fontId="0" fillId="0" borderId="0" xfId="0" applyAlignment="1">
      <alignment vertical="top" wrapText="1"/>
    </xf>
    <xf numFmtId="0" fontId="0" fillId="0" borderId="0" xfId="0" applyAlignment="1">
      <alignment vertical="top"/>
    </xf>
    <xf numFmtId="0" fontId="0" fillId="0" borderId="50" xfId="0" applyBorder="1" applyAlignment="1">
      <alignment vertical="top" wrapText="1"/>
    </xf>
    <xf numFmtId="0" fontId="0" fillId="0" borderId="51" xfId="0" applyBorder="1" applyAlignment="1">
      <alignment vertical="top" wrapText="1"/>
    </xf>
    <xf numFmtId="0" fontId="4" fillId="0" borderId="44" xfId="0" applyFont="1" applyBorder="1" applyAlignment="1">
      <alignment horizontal="center"/>
    </xf>
    <xf numFmtId="0" fontId="4" fillId="0" borderId="45" xfId="0" applyFont="1" applyBorder="1" applyAlignment="1">
      <alignment horizontal="center"/>
    </xf>
    <xf numFmtId="0" fontId="4" fillId="0" borderId="46" xfId="0" applyFont="1" applyBorder="1" applyAlignment="1">
      <alignment horizontal="center"/>
    </xf>
    <xf numFmtId="0" fontId="4" fillId="0" borderId="52" xfId="0" applyFont="1" applyBorder="1" applyAlignment="1">
      <alignment horizontal="center"/>
    </xf>
    <xf numFmtId="0" fontId="4" fillId="0" borderId="53" xfId="0" applyFont="1" applyBorder="1" applyAlignment="1">
      <alignment horizontal="center"/>
    </xf>
    <xf numFmtId="0" fontId="4" fillId="0" borderId="54" xfId="0" applyFont="1" applyBorder="1" applyAlignment="1">
      <alignment horizontal="center"/>
    </xf>
    <xf numFmtId="0" fontId="0" fillId="0" borderId="21" xfId="0" applyBorder="1" applyAlignment="1">
      <alignment vertical="top" wrapText="1"/>
    </xf>
    <xf numFmtId="0" fontId="0" fillId="0" borderId="21" xfId="0" applyBorder="1" applyAlignment="1">
      <alignment vertical="top"/>
    </xf>
    <xf numFmtId="0" fontId="0" fillId="0" borderId="36" xfId="0" applyBorder="1" applyAlignment="1">
      <alignment vertical="top"/>
    </xf>
    <xf numFmtId="0" fontId="0" fillId="0" borderId="50" xfId="0" applyBorder="1" applyAlignment="1">
      <alignment vertical="top"/>
    </xf>
    <xf numFmtId="0" fontId="0" fillId="0" borderId="52" xfId="0" applyBorder="1" applyAlignment="1">
      <alignment vertical="top" wrapText="1"/>
    </xf>
    <xf numFmtId="0" fontId="0" fillId="0" borderId="53" xfId="0" applyBorder="1" applyAlignment="1">
      <alignment vertical="top"/>
    </xf>
    <xf numFmtId="0" fontId="0" fillId="0" borderId="54" xfId="0" applyBorder="1" applyAlignment="1">
      <alignment vertical="top"/>
    </xf>
    <xf numFmtId="0" fontId="0" fillId="0" borderId="55" xfId="0" applyBorder="1" applyAlignment="1">
      <alignment vertical="top"/>
    </xf>
    <xf numFmtId="0" fontId="0" fillId="0" borderId="22" xfId="0" applyBorder="1" applyAlignment="1">
      <alignment vertical="top"/>
    </xf>
    <xf numFmtId="0" fontId="0" fillId="0" borderId="20" xfId="0" applyBorder="1" applyAlignment="1">
      <alignment vertical="top"/>
    </xf>
    <xf numFmtId="3" fontId="0" fillId="2" borderId="41" xfId="2" applyNumberFormat="1" applyFont="1" applyBorder="1" applyAlignment="1" applyProtection="1">
      <alignment horizontal="center"/>
      <protection locked="0"/>
    </xf>
    <xf numFmtId="3" fontId="0" fillId="2" borderId="136" xfId="2" applyNumberFormat="1" applyFont="1" applyBorder="1" applyAlignment="1" applyProtection="1">
      <alignment horizontal="center"/>
      <protection locked="0"/>
    </xf>
    <xf numFmtId="3" fontId="0" fillId="2" borderId="42" xfId="2" applyNumberFormat="1" applyFont="1" applyBorder="1" applyAlignment="1" applyProtection="1">
      <alignment horizontal="center"/>
      <protection locked="0"/>
    </xf>
    <xf numFmtId="0" fontId="0" fillId="0" borderId="0" xfId="0" applyAlignment="1">
      <alignment wrapText="1"/>
    </xf>
    <xf numFmtId="0" fontId="0" fillId="0" borderId="0" xfId="0"/>
    <xf numFmtId="0" fontId="0" fillId="0" borderId="44" xfId="0" applyBorder="1" applyAlignment="1">
      <alignment horizontal="left" vertical="center" wrapText="1" indent="1"/>
    </xf>
    <xf numFmtId="0" fontId="0" fillId="0" borderId="45" xfId="0" applyBorder="1" applyAlignment="1">
      <alignment horizontal="left" vertical="center" indent="1"/>
    </xf>
    <xf numFmtId="0" fontId="0" fillId="0" borderId="46" xfId="0" applyBorder="1" applyAlignment="1">
      <alignment horizontal="left" vertical="center" indent="1"/>
    </xf>
    <xf numFmtId="0" fontId="0" fillId="0" borderId="47" xfId="0" applyBorder="1" applyAlignment="1">
      <alignment horizontal="left" vertical="center" indent="1"/>
    </xf>
    <xf numFmtId="0" fontId="0" fillId="0" borderId="0" xfId="0" applyAlignment="1">
      <alignment horizontal="left" vertical="center" indent="1"/>
    </xf>
    <xf numFmtId="0" fontId="0" fillId="0" borderId="48" xfId="0" applyBorder="1" applyAlignment="1">
      <alignment horizontal="left" vertical="center" indent="1"/>
    </xf>
    <xf numFmtId="0" fontId="0" fillId="0" borderId="49" xfId="0" applyBorder="1" applyAlignment="1">
      <alignment horizontal="left" vertical="center" indent="1"/>
    </xf>
    <xf numFmtId="0" fontId="0" fillId="0" borderId="50" xfId="0" applyBorder="1" applyAlignment="1">
      <alignment horizontal="left" vertical="center" indent="1"/>
    </xf>
    <xf numFmtId="0" fontId="0" fillId="0" borderId="51" xfId="0" applyBorder="1" applyAlignment="1">
      <alignment horizontal="left" vertical="center" indent="1"/>
    </xf>
    <xf numFmtId="0" fontId="40" fillId="0" borderId="0" xfId="5" applyFont="1"/>
    <xf numFmtId="0" fontId="40" fillId="0" borderId="0" xfId="5" applyFont="1" applyAlignment="1">
      <alignment horizontal="center"/>
    </xf>
    <xf numFmtId="169" fontId="1" fillId="11" borderId="7" xfId="12" applyNumberFormat="1" applyFont="1" applyFill="1" applyBorder="1" applyProtection="1">
      <protection locked="0"/>
    </xf>
    <xf numFmtId="169" fontId="1" fillId="11" borderId="33" xfId="12" applyNumberFormat="1" applyFont="1" applyFill="1" applyBorder="1" applyProtection="1">
      <protection locked="0"/>
    </xf>
    <xf numFmtId="0" fontId="0" fillId="26" borderId="0" xfId="0" applyFill="1" applyAlignment="1">
      <alignment wrapText="1"/>
    </xf>
    <xf numFmtId="0" fontId="0" fillId="0" borderId="0" xfId="0" applyAlignment="1">
      <alignment vertical="center" wrapText="1"/>
    </xf>
    <xf numFmtId="0" fontId="4" fillId="5" borderId="30" xfId="0" applyFont="1" applyFill="1" applyBorder="1" applyAlignment="1">
      <alignment horizontal="center" vertical="center"/>
    </xf>
    <xf numFmtId="0" fontId="4" fillId="5" borderId="31" xfId="0" applyFont="1" applyFill="1" applyBorder="1" applyAlignment="1">
      <alignment horizontal="center" vertical="center"/>
    </xf>
    <xf numFmtId="0" fontId="21" fillId="26" borderId="0" xfId="0" applyFont="1" applyFill="1" applyAlignment="1">
      <alignment wrapText="1"/>
    </xf>
    <xf numFmtId="0" fontId="0" fillId="0" borderId="47" xfId="0" applyBorder="1" applyAlignment="1">
      <alignment horizontal="left" wrapText="1" indent="1"/>
    </xf>
    <xf numFmtId="0" fontId="0" fillId="0" borderId="0" xfId="0" applyAlignment="1">
      <alignment horizontal="left" wrapText="1" indent="1"/>
    </xf>
    <xf numFmtId="0" fontId="0" fillId="0" borderId="48" xfId="0" applyBorder="1" applyAlignment="1">
      <alignment horizontal="left" wrapText="1" indent="1"/>
    </xf>
    <xf numFmtId="0" fontId="0" fillId="0" borderId="47" xfId="0" applyBorder="1" applyAlignment="1">
      <alignment horizontal="left" vertical="center" wrapText="1" indent="1"/>
    </xf>
    <xf numFmtId="0" fontId="0" fillId="0" borderId="0" xfId="0" applyAlignment="1">
      <alignment horizontal="left" vertical="center" wrapText="1" indent="1"/>
    </xf>
    <xf numFmtId="0" fontId="0" fillId="0" borderId="48" xfId="0" applyBorder="1" applyAlignment="1">
      <alignment horizontal="left" vertical="center" wrapText="1" indent="1"/>
    </xf>
    <xf numFmtId="0" fontId="0" fillId="0" borderId="53" xfId="0" applyBorder="1" applyAlignment="1">
      <alignment vertical="top" wrapText="1"/>
    </xf>
    <xf numFmtId="0" fontId="0" fillId="0" borderId="54" xfId="0" applyBorder="1" applyAlignment="1">
      <alignment vertical="top" wrapText="1"/>
    </xf>
    <xf numFmtId="0" fontId="0" fillId="0" borderId="20" xfId="0" applyBorder="1" applyAlignment="1">
      <alignment vertical="top" wrapText="1"/>
    </xf>
    <xf numFmtId="0" fontId="0" fillId="0" borderId="36" xfId="0" applyBorder="1" applyAlignment="1">
      <alignment vertical="top" wrapText="1"/>
    </xf>
    <xf numFmtId="0" fontId="0" fillId="0" borderId="26" xfId="0" applyBorder="1"/>
    <xf numFmtId="0" fontId="0" fillId="0" borderId="67" xfId="0" applyBorder="1"/>
    <xf numFmtId="0" fontId="0" fillId="0" borderId="17" xfId="0" applyBorder="1"/>
    <xf numFmtId="0" fontId="0" fillId="0" borderId="26" xfId="0" applyBorder="1" applyAlignment="1">
      <alignment horizontal="left"/>
    </xf>
    <xf numFmtId="0" fontId="0" fillId="0" borderId="67" xfId="0" applyBorder="1" applyAlignment="1">
      <alignment horizontal="left"/>
    </xf>
    <xf numFmtId="0" fontId="0" fillId="0" borderId="17" xfId="0" applyBorder="1" applyAlignment="1">
      <alignment horizontal="left"/>
    </xf>
    <xf numFmtId="0" fontId="0" fillId="0" borderId="26" xfId="0" applyBorder="1" applyAlignment="1">
      <alignment horizontal="left" vertical="top" wrapText="1"/>
    </xf>
    <xf numFmtId="0" fontId="0" fillId="0" borderId="67" xfId="0" applyBorder="1" applyAlignment="1">
      <alignment horizontal="left" vertical="top" wrapText="1"/>
    </xf>
    <xf numFmtId="0" fontId="0" fillId="0" borderId="17" xfId="0" applyBorder="1" applyAlignment="1">
      <alignment horizontal="left" vertical="top" wrapText="1"/>
    </xf>
    <xf numFmtId="0" fontId="0" fillId="0" borderId="52" xfId="0" applyBorder="1" applyAlignment="1">
      <alignment wrapText="1"/>
    </xf>
    <xf numFmtId="0" fontId="0" fillId="0" borderId="53" xfId="0" applyBorder="1" applyAlignment="1">
      <alignment wrapText="1"/>
    </xf>
    <xf numFmtId="0" fontId="0" fillId="0" borderId="54" xfId="0" applyBorder="1" applyAlignment="1">
      <alignment wrapText="1"/>
    </xf>
    <xf numFmtId="0" fontId="0" fillId="0" borderId="20" xfId="0" applyBorder="1" applyAlignment="1">
      <alignment wrapText="1"/>
    </xf>
    <xf numFmtId="0" fontId="0" fillId="0" borderId="21" xfId="0" applyBorder="1" applyAlignment="1">
      <alignment wrapText="1"/>
    </xf>
    <xf numFmtId="0" fontId="0" fillId="0" borderId="36" xfId="0" applyBorder="1" applyAlignment="1">
      <alignment wrapText="1"/>
    </xf>
    <xf numFmtId="0" fontId="0" fillId="0" borderId="45" xfId="0" applyBorder="1" applyAlignment="1">
      <alignment horizontal="left" vertical="center" wrapText="1"/>
    </xf>
    <xf numFmtId="0" fontId="0" fillId="0" borderId="45" xfId="0" applyBorder="1" applyAlignment="1">
      <alignment horizontal="left" vertical="center"/>
    </xf>
    <xf numFmtId="0" fontId="0" fillId="0" borderId="46" xfId="0" applyBorder="1" applyAlignment="1">
      <alignment horizontal="left" vertical="center"/>
    </xf>
    <xf numFmtId="0" fontId="0" fillId="0" borderId="0" xfId="0" applyAlignment="1">
      <alignment horizontal="left" vertical="center"/>
    </xf>
    <xf numFmtId="0" fontId="0" fillId="0" borderId="48" xfId="0" applyBorder="1" applyAlignment="1">
      <alignment horizontal="left" vertical="center"/>
    </xf>
    <xf numFmtId="0" fontId="0" fillId="0" borderId="50" xfId="0" applyBorder="1" applyAlignment="1">
      <alignment horizontal="left" vertical="center"/>
    </xf>
    <xf numFmtId="0" fontId="0" fillId="0" borderId="51" xfId="0" applyBorder="1" applyAlignment="1">
      <alignment horizontal="left" vertical="center"/>
    </xf>
    <xf numFmtId="0" fontId="40" fillId="0" borderId="0" xfId="5" applyFont="1" applyAlignment="1">
      <alignment horizontal="right"/>
    </xf>
    <xf numFmtId="0" fontId="4" fillId="0" borderId="0" xfId="0" applyFont="1" applyAlignment="1">
      <alignment vertical="top" wrapText="1"/>
    </xf>
    <xf numFmtId="0" fontId="52" fillId="0" borderId="0" xfId="0" applyFont="1" applyAlignment="1">
      <alignment horizontal="left" wrapText="1"/>
    </xf>
    <xf numFmtId="0" fontId="0" fillId="0" borderId="44" xfId="0" applyBorder="1" applyAlignment="1">
      <alignment vertical="center" wrapText="1"/>
    </xf>
    <xf numFmtId="0" fontId="0" fillId="0" borderId="45" xfId="0" applyBorder="1" applyAlignment="1">
      <alignment vertical="center"/>
    </xf>
    <xf numFmtId="0" fontId="0" fillId="0" borderId="46" xfId="0" applyBorder="1" applyAlignment="1">
      <alignment vertical="center"/>
    </xf>
    <xf numFmtId="0" fontId="0" fillId="0" borderId="47" xfId="0" applyBorder="1" applyAlignment="1">
      <alignment vertical="center"/>
    </xf>
    <xf numFmtId="0" fontId="0" fillId="0" borderId="0" xfId="0" applyAlignment="1">
      <alignment vertical="center"/>
    </xf>
    <xf numFmtId="0" fontId="0" fillId="0" borderId="48" xfId="0" applyBorder="1" applyAlignment="1">
      <alignment vertical="center"/>
    </xf>
    <xf numFmtId="0" fontId="0" fillId="0" borderId="49" xfId="0" applyBorder="1" applyAlignment="1">
      <alignment vertical="center"/>
    </xf>
    <xf numFmtId="0" fontId="0" fillId="0" borderId="50" xfId="0" applyBorder="1" applyAlignment="1">
      <alignment vertical="center"/>
    </xf>
    <xf numFmtId="0" fontId="0" fillId="0" borderId="51" xfId="0" applyBorder="1" applyAlignment="1">
      <alignment vertical="center"/>
    </xf>
    <xf numFmtId="0" fontId="0" fillId="0" borderId="47" xfId="0" applyBorder="1" applyAlignment="1">
      <alignment vertical="center" wrapText="1"/>
    </xf>
    <xf numFmtId="0" fontId="0" fillId="0" borderId="48" xfId="0" applyBorder="1" applyAlignment="1">
      <alignment vertical="center" wrapText="1"/>
    </xf>
    <xf numFmtId="0" fontId="0" fillId="0" borderId="45" xfId="0" applyBorder="1" applyAlignment="1">
      <alignment vertical="center" wrapText="1"/>
    </xf>
    <xf numFmtId="0" fontId="0" fillId="0" borderId="46" xfId="0" applyBorder="1" applyAlignment="1">
      <alignment vertical="center"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54"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36" xfId="0" applyBorder="1" applyAlignment="1">
      <alignment horizontal="left" vertical="top" wrapText="1"/>
    </xf>
    <xf numFmtId="0" fontId="0" fillId="0" borderId="49" xfId="0" applyBorder="1" applyAlignment="1">
      <alignment vertical="center" wrapText="1"/>
    </xf>
    <xf numFmtId="0" fontId="0" fillId="0" borderId="50" xfId="0" applyBorder="1" applyAlignment="1">
      <alignment vertical="center" wrapText="1"/>
    </xf>
    <xf numFmtId="0" fontId="0" fillId="0" borderId="51" xfId="0" applyBorder="1" applyAlignment="1">
      <alignment vertical="center" wrapText="1"/>
    </xf>
    <xf numFmtId="0" fontId="9" fillId="0" borderId="26" xfId="5" applyBorder="1" applyAlignment="1">
      <alignment wrapText="1"/>
    </xf>
    <xf numFmtId="0" fontId="9" fillId="0" borderId="67" xfId="5" applyBorder="1"/>
    <xf numFmtId="0" fontId="9" fillId="0" borderId="17" xfId="5" applyBorder="1"/>
    <xf numFmtId="3" fontId="0" fillId="11" borderId="97" xfId="0" applyNumberFormat="1" applyFill="1" applyBorder="1" applyProtection="1">
      <protection locked="0"/>
    </xf>
    <xf numFmtId="3" fontId="0" fillId="11" borderId="98" xfId="0" applyNumberFormat="1" applyFill="1" applyBorder="1" applyProtection="1">
      <protection locked="0"/>
    </xf>
    <xf numFmtId="3" fontId="0" fillId="11" borderId="99" xfId="0" applyNumberFormat="1" applyFill="1" applyBorder="1" applyProtection="1">
      <protection locked="0"/>
    </xf>
    <xf numFmtId="3" fontId="0" fillId="11" borderId="101" xfId="0" applyNumberFormat="1" applyFill="1" applyBorder="1" applyProtection="1">
      <protection locked="0"/>
    </xf>
    <xf numFmtId="3" fontId="0" fillId="11" borderId="102" xfId="0" applyNumberFormat="1" applyFill="1" applyBorder="1" applyProtection="1">
      <protection locked="0"/>
    </xf>
    <xf numFmtId="0" fontId="0" fillId="0" borderId="52" xfId="0" applyBorder="1" applyAlignment="1">
      <alignment horizontal="left" vertical="center" wrapText="1" indent="1"/>
    </xf>
    <xf numFmtId="0" fontId="0" fillId="0" borderId="53" xfId="0" applyBorder="1" applyAlignment="1">
      <alignment horizontal="left" vertical="center" indent="1"/>
    </xf>
    <xf numFmtId="0" fontId="0" fillId="0" borderId="54" xfId="0" applyBorder="1" applyAlignment="1">
      <alignment horizontal="left" vertical="center" indent="1"/>
    </xf>
    <xf numFmtId="0" fontId="0" fillId="0" borderId="20" xfId="0" applyBorder="1" applyAlignment="1">
      <alignment horizontal="left" vertical="center" indent="1"/>
    </xf>
    <xf numFmtId="0" fontId="0" fillId="0" borderId="21" xfId="0" applyBorder="1" applyAlignment="1">
      <alignment horizontal="left" vertical="center" indent="1"/>
    </xf>
    <xf numFmtId="0" fontId="0" fillId="0" borderId="36" xfId="0" applyBorder="1" applyAlignment="1">
      <alignment horizontal="left" vertical="center" indent="1"/>
    </xf>
    <xf numFmtId="0" fontId="0" fillId="0" borderId="55" xfId="0" applyBorder="1" applyAlignment="1">
      <alignment vertical="top" wrapText="1"/>
    </xf>
    <xf numFmtId="0" fontId="0" fillId="0" borderId="22" xfId="0" applyBorder="1" applyAlignment="1">
      <alignment vertical="top" wrapText="1"/>
    </xf>
    <xf numFmtId="0" fontId="25" fillId="24" borderId="19" xfId="15" applyFont="1" applyBorder="1" applyAlignment="1">
      <alignment horizontal="left" vertical="center" readingOrder="1"/>
    </xf>
    <xf numFmtId="0" fontId="25" fillId="24" borderId="43" xfId="15" applyFont="1" applyBorder="1" applyAlignment="1">
      <alignment horizontal="left" vertical="center" readingOrder="1"/>
    </xf>
    <xf numFmtId="0" fontId="0" fillId="2" borderId="41" xfId="2" applyFont="1" applyBorder="1" applyProtection="1">
      <protection locked="0"/>
    </xf>
    <xf numFmtId="0" fontId="0" fillId="2" borderId="42" xfId="2" applyFont="1" applyBorder="1" applyProtection="1">
      <protection locked="0"/>
    </xf>
    <xf numFmtId="0" fontId="0" fillId="0" borderId="26" xfId="0" applyBorder="1" applyAlignment="1">
      <alignment vertical="top" wrapText="1"/>
    </xf>
    <xf numFmtId="0" fontId="0" fillId="0" borderId="67" xfId="0" applyBorder="1" applyAlignment="1">
      <alignment vertical="top" wrapText="1"/>
    </xf>
    <xf numFmtId="0" fontId="0" fillId="0" borderId="17" xfId="0" applyBorder="1" applyAlignment="1">
      <alignment vertical="top" wrapText="1"/>
    </xf>
    <xf numFmtId="0" fontId="0" fillId="0" borderId="80" xfId="0" applyBorder="1"/>
    <xf numFmtId="0" fontId="0" fillId="0" borderId="81" xfId="0" applyBorder="1"/>
    <xf numFmtId="0" fontId="0" fillId="0" borderId="0" xfId="0" applyAlignment="1">
      <alignment horizontal="left" vertical="top" wrapText="1"/>
    </xf>
    <xf numFmtId="0" fontId="0" fillId="0" borderId="52" xfId="0" applyBorder="1"/>
    <xf numFmtId="0" fontId="0" fillId="0" borderId="54" xfId="0" applyBorder="1"/>
    <xf numFmtId="0" fontId="0" fillId="0" borderId="82" xfId="0" applyBorder="1"/>
    <xf numFmtId="0" fontId="0" fillId="0" borderId="83" xfId="0" applyBorder="1"/>
    <xf numFmtId="0" fontId="0" fillId="0" borderId="7" xfId="0" applyBorder="1" applyAlignment="1">
      <alignment horizontal="center" vertical="center" wrapText="1"/>
    </xf>
    <xf numFmtId="0" fontId="0" fillId="0" borderId="52" xfId="0" applyBorder="1" applyAlignment="1">
      <alignment horizontal="center" vertical="center"/>
    </xf>
    <xf numFmtId="0" fontId="0" fillId="0" borderId="54" xfId="0" applyBorder="1" applyAlignment="1">
      <alignment horizontal="center" vertical="center"/>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cellXfs>
  <cellStyles count="21">
    <cellStyle name="20 % - Akzent1" xfId="4" builtinId="30"/>
    <cellStyle name="20 % - Akzent2" xfId="7" builtinId="34"/>
    <cellStyle name="20 % - Akzent3" xfId="17" builtinId="38"/>
    <cellStyle name="20 % - Akzent5" xfId="9" builtinId="46"/>
    <cellStyle name="20 % - Akzent6" xfId="11" builtinId="50"/>
    <cellStyle name="Akzent1" xfId="3" builtinId="29"/>
    <cellStyle name="Akzent2" xfId="6" builtinId="33"/>
    <cellStyle name="Akzent5" xfId="8" builtinId="45"/>
    <cellStyle name="Akzent6" xfId="10" builtinId="49"/>
    <cellStyle name="Ausgabe" xfId="15" builtinId="21"/>
    <cellStyle name="Berechnung" xfId="19" builtinId="22"/>
    <cellStyle name="Erklärender Text" xfId="16" builtinId="53"/>
    <cellStyle name="Komma" xfId="18" builtinId="3"/>
    <cellStyle name="Link" xfId="5" builtinId="8"/>
    <cellStyle name="Notiz" xfId="2" builtinId="10"/>
    <cellStyle name="Prozent" xfId="13" builtinId="5"/>
    <cellStyle name="Standard" xfId="0" builtinId="0"/>
    <cellStyle name="Überschrift 1" xfId="14" builtinId="16"/>
    <cellStyle name="Überschrift 2" xfId="1" builtinId="17"/>
    <cellStyle name="Überschrift 3" xfId="20" builtinId="18"/>
    <cellStyle name="Währung" xfId="12" builtinId="4"/>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F0F9"/>
      <color rgb="FFC6DCF0"/>
      <color rgb="FF5B9BD5"/>
      <color rgb="FF005989"/>
      <color rgb="FFEF2730"/>
      <color rgb="FFFCBA32"/>
      <color rgb="FFBDD740"/>
      <color rgb="FF00A552"/>
      <color rgb="FF00A1FA"/>
      <color rgb="FF87BD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Vergleichswerte Heizenergiebedarf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tx>
            <c:strRef>
              <c:f>Heizsystem!$C$71</c:f>
              <c:strCache>
                <c:ptCount val="1"/>
                <c:pt idx="0">
                  <c:v>niedrig</c:v>
                </c:pt>
              </c:strCache>
            </c:strRef>
          </c:tx>
          <c:spPr>
            <a:solidFill>
              <a:srgbClr val="00A552"/>
            </a:solidFill>
            <a:ln>
              <a:noFill/>
            </a:ln>
            <a:effectLst/>
          </c:spPr>
          <c:invertIfNegative val="0"/>
          <c:cat>
            <c:strRef>
              <c:f>Heizsystem!$D$70</c:f>
              <c:strCache>
                <c:ptCount val="1"/>
                <c:pt idx="0">
                  <c:v>Vergleichswerte</c:v>
                </c:pt>
              </c:strCache>
            </c:strRef>
          </c:cat>
          <c:val>
            <c:numRef>
              <c:f>Heizsystem!$D$71</c:f>
              <c:numCache>
                <c:formatCode>#,##0\ "kWh/m²*a"</c:formatCode>
                <c:ptCount val="1"/>
                <c:pt idx="0">
                  <c:v>60</c:v>
                </c:pt>
              </c:numCache>
            </c:numRef>
          </c:val>
          <c:extLst>
            <c:ext xmlns:c16="http://schemas.microsoft.com/office/drawing/2014/chart" uri="{C3380CC4-5D6E-409C-BE32-E72D297353CC}">
              <c16:uniqueId val="{00000000-D136-4C79-A69C-3DB3AD0E94E2}"/>
            </c:ext>
          </c:extLst>
        </c:ser>
        <c:ser>
          <c:idx val="1"/>
          <c:order val="1"/>
          <c:tx>
            <c:strRef>
              <c:f>Heizsystem!$C$72</c:f>
              <c:strCache>
                <c:ptCount val="1"/>
                <c:pt idx="0">
                  <c:v>mittel</c:v>
                </c:pt>
              </c:strCache>
            </c:strRef>
          </c:tx>
          <c:spPr>
            <a:solidFill>
              <a:srgbClr val="BDD740"/>
            </a:solidFill>
            <a:ln>
              <a:noFill/>
            </a:ln>
            <a:effectLst/>
          </c:spPr>
          <c:invertIfNegative val="0"/>
          <c:cat>
            <c:strRef>
              <c:f>Heizsystem!$D$70</c:f>
              <c:strCache>
                <c:ptCount val="1"/>
                <c:pt idx="0">
                  <c:v>Vergleichswerte</c:v>
                </c:pt>
              </c:strCache>
            </c:strRef>
          </c:cat>
          <c:val>
            <c:numRef>
              <c:f>Heizsystem!$D$72</c:f>
              <c:numCache>
                <c:formatCode>#,##0\ "kWh/m²*a"</c:formatCode>
                <c:ptCount val="1"/>
                <c:pt idx="0">
                  <c:v>40</c:v>
                </c:pt>
              </c:numCache>
            </c:numRef>
          </c:val>
          <c:extLst>
            <c:ext xmlns:c16="http://schemas.microsoft.com/office/drawing/2014/chart" uri="{C3380CC4-5D6E-409C-BE32-E72D297353CC}">
              <c16:uniqueId val="{00000001-D136-4C79-A69C-3DB3AD0E94E2}"/>
            </c:ext>
          </c:extLst>
        </c:ser>
        <c:ser>
          <c:idx val="2"/>
          <c:order val="2"/>
          <c:tx>
            <c:strRef>
              <c:f>Heizsystem!$C$73</c:f>
              <c:strCache>
                <c:ptCount val="1"/>
                <c:pt idx="0">
                  <c:v>relativ hoch</c:v>
                </c:pt>
              </c:strCache>
            </c:strRef>
          </c:tx>
          <c:spPr>
            <a:solidFill>
              <a:srgbClr val="FCBA32"/>
            </a:solidFill>
            <a:ln>
              <a:noFill/>
            </a:ln>
            <a:effectLst/>
          </c:spPr>
          <c:invertIfNegative val="0"/>
          <c:cat>
            <c:strRef>
              <c:f>Heizsystem!$D$70</c:f>
              <c:strCache>
                <c:ptCount val="1"/>
                <c:pt idx="0">
                  <c:v>Vergleichswerte</c:v>
                </c:pt>
              </c:strCache>
            </c:strRef>
          </c:cat>
          <c:val>
            <c:numRef>
              <c:f>Heizsystem!$D$73</c:f>
              <c:numCache>
                <c:formatCode>#,##0\ "kWh/m²*a"</c:formatCode>
                <c:ptCount val="1"/>
                <c:pt idx="0">
                  <c:v>30</c:v>
                </c:pt>
              </c:numCache>
            </c:numRef>
          </c:val>
          <c:extLst>
            <c:ext xmlns:c16="http://schemas.microsoft.com/office/drawing/2014/chart" uri="{C3380CC4-5D6E-409C-BE32-E72D297353CC}">
              <c16:uniqueId val="{00000002-D136-4C79-A69C-3DB3AD0E94E2}"/>
            </c:ext>
          </c:extLst>
        </c:ser>
        <c:ser>
          <c:idx val="3"/>
          <c:order val="3"/>
          <c:tx>
            <c:strRef>
              <c:f>Heizsystem!$C$74</c:f>
              <c:strCache>
                <c:ptCount val="1"/>
                <c:pt idx="0">
                  <c:v>sehr hoch</c:v>
                </c:pt>
              </c:strCache>
            </c:strRef>
          </c:tx>
          <c:spPr>
            <a:solidFill>
              <a:srgbClr val="EF2730"/>
            </a:solidFill>
            <a:ln>
              <a:noFill/>
            </a:ln>
            <a:effectLst/>
          </c:spPr>
          <c:invertIfNegative val="0"/>
          <c:cat>
            <c:strRef>
              <c:f>Heizsystem!$D$70</c:f>
              <c:strCache>
                <c:ptCount val="1"/>
                <c:pt idx="0">
                  <c:v>Vergleichswerte</c:v>
                </c:pt>
              </c:strCache>
            </c:strRef>
          </c:cat>
          <c:val>
            <c:numRef>
              <c:f>Heizsystem!$D$74</c:f>
              <c:numCache>
                <c:formatCode>#,##0\ "kWh/m²*a"</c:formatCode>
                <c:ptCount val="1"/>
                <c:pt idx="0">
                  <c:v>70</c:v>
                </c:pt>
              </c:numCache>
            </c:numRef>
          </c:val>
          <c:extLst>
            <c:ext xmlns:c16="http://schemas.microsoft.com/office/drawing/2014/chart" uri="{C3380CC4-5D6E-409C-BE32-E72D297353CC}">
              <c16:uniqueId val="{00000003-D136-4C79-A69C-3DB3AD0E94E2}"/>
            </c:ext>
          </c:extLst>
        </c:ser>
        <c:dLbls>
          <c:showLegendKey val="0"/>
          <c:showVal val="0"/>
          <c:showCatName val="0"/>
          <c:showSerName val="0"/>
          <c:showPercent val="0"/>
          <c:showBubbleSize val="0"/>
        </c:dLbls>
        <c:gapWidth val="150"/>
        <c:overlap val="100"/>
        <c:axId val="535280303"/>
        <c:axId val="535279055"/>
      </c:barChart>
      <c:catAx>
        <c:axId val="535280303"/>
        <c:scaling>
          <c:orientation val="minMax"/>
        </c:scaling>
        <c:delete val="1"/>
        <c:axPos val="l"/>
        <c:numFmt formatCode="General" sourceLinked="1"/>
        <c:majorTickMark val="none"/>
        <c:minorTickMark val="none"/>
        <c:tickLblPos val="nextTo"/>
        <c:crossAx val="535279055"/>
        <c:crosses val="autoZero"/>
        <c:auto val="1"/>
        <c:lblAlgn val="ctr"/>
        <c:lblOffset val="100"/>
        <c:noMultiLvlLbl val="0"/>
      </c:catAx>
      <c:valAx>
        <c:axId val="535279055"/>
        <c:scaling>
          <c:orientation val="minMax"/>
          <c:max val="200"/>
          <c:min val="0"/>
        </c:scaling>
        <c:delete val="0"/>
        <c:axPos val="b"/>
        <c:majorGridlines>
          <c:spPr>
            <a:ln w="9525" cap="flat" cmpd="sng" algn="ctr">
              <a:solidFill>
                <a:schemeClr val="tx1">
                  <a:lumMod val="15000"/>
                  <a:lumOff val="85000"/>
                </a:schemeClr>
              </a:solidFill>
              <a:round/>
            </a:ln>
            <a:effectLst/>
          </c:spPr>
        </c:majorGridlines>
        <c:numFmt formatCode="#,##0\ &quot;kWh/m²*a&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528030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Schulwege!$C$134</c:f>
          <c:strCache>
            <c:ptCount val="1"/>
            <c:pt idx="0">
              <c:v>Zurückgelegte Wegstrecke nach Verkehrsmittel für Schüler:innen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914978040402545"/>
          <c:y val="0.3882090991657382"/>
          <c:w val="0.44627342175025037"/>
          <c:h val="0.55855844046404057"/>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2-6C12-4F7D-8117-BF0171D125B0}"/>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6C12-4F7D-8117-BF0171D125B0}"/>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4-6C12-4F7D-8117-BF0171D125B0}"/>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5-6C12-4F7D-8117-BF0171D125B0}"/>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6-6C12-4F7D-8117-BF0171D125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Schulwege!$C$136:$C$140</c:f>
              <c:strCache>
                <c:ptCount val="5"/>
                <c:pt idx="0">
                  <c:v>zu Fuß</c:v>
                </c:pt>
                <c:pt idx="1">
                  <c:v>Fahrrad</c:v>
                </c:pt>
                <c:pt idx="2">
                  <c:v>Schulbus und ÖPNV</c:v>
                </c:pt>
                <c:pt idx="3">
                  <c:v>Auto</c:v>
                </c:pt>
                <c:pt idx="4">
                  <c:v>Sonstige</c:v>
                </c:pt>
              </c:strCache>
            </c:strRef>
          </c:cat>
          <c:val>
            <c:numRef>
              <c:f>Schulwege!$E$136:$E$140</c:f>
              <c:numCache>
                <c:formatCode>0%</c:formatCode>
                <c:ptCount val="5"/>
                <c:pt idx="0">
                  <c:v>0</c:v>
                </c:pt>
                <c:pt idx="1">
                  <c:v>0.40546594982078854</c:v>
                </c:pt>
                <c:pt idx="2">
                  <c:v>0.39292114695340502</c:v>
                </c:pt>
                <c:pt idx="3">
                  <c:v>0.20161290322580644</c:v>
                </c:pt>
                <c:pt idx="4">
                  <c:v>0</c:v>
                </c:pt>
              </c:numCache>
            </c:numRef>
          </c:val>
          <c:extLst>
            <c:ext xmlns:c16="http://schemas.microsoft.com/office/drawing/2014/chart" uri="{C3380CC4-5D6E-409C-BE32-E72D297353CC}">
              <c16:uniqueId val="{00000000-6C12-4F7D-8117-BF0171D125B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Schulwege!$F$134</c:f>
          <c:strCache>
            <c:ptCount val="1"/>
            <c:pt idx="0">
              <c:v>Emissionen nach Verkehrsmitteln für Schüler:innen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914978040402545"/>
          <c:y val="0.3882090991657382"/>
          <c:w val="0.44627342175025037"/>
          <c:h val="0.55855844046404057"/>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2-6C12-4F7D-8117-BF0171D125B0}"/>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6C12-4F7D-8117-BF0171D125B0}"/>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4-6C12-4F7D-8117-BF0171D125B0}"/>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5-6C12-4F7D-8117-BF0171D125B0}"/>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6-6C12-4F7D-8117-BF0171D125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Schulwege!$F$136:$F$140</c:f>
              <c:strCache>
                <c:ptCount val="5"/>
                <c:pt idx="0">
                  <c:v>zu Fuß</c:v>
                </c:pt>
                <c:pt idx="1">
                  <c:v>Fahrrad</c:v>
                </c:pt>
                <c:pt idx="2">
                  <c:v>Schulbus und ÖPNV</c:v>
                </c:pt>
                <c:pt idx="3">
                  <c:v>Auto</c:v>
                </c:pt>
                <c:pt idx="4">
                  <c:v>Sonstige</c:v>
                </c:pt>
              </c:strCache>
            </c:strRef>
          </c:cat>
          <c:val>
            <c:numRef>
              <c:f>Schulwege!$H$136:$H$140</c:f>
              <c:numCache>
                <c:formatCode>0%</c:formatCode>
                <c:ptCount val="5"/>
                <c:pt idx="0">
                  <c:v>0</c:v>
                </c:pt>
                <c:pt idx="1">
                  <c:v>0</c:v>
                </c:pt>
                <c:pt idx="2">
                  <c:v>0.52691463171202346</c:v>
                </c:pt>
                <c:pt idx="3">
                  <c:v>0.47308536828797659</c:v>
                </c:pt>
                <c:pt idx="4">
                  <c:v>0</c:v>
                </c:pt>
              </c:numCache>
            </c:numRef>
          </c:val>
          <c:extLst>
            <c:ext xmlns:c16="http://schemas.microsoft.com/office/drawing/2014/chart" uri="{C3380CC4-5D6E-409C-BE32-E72D297353CC}">
              <c16:uniqueId val="{00000000-6C12-4F7D-8117-BF0171D125B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Schulwege!$C$216</c:f>
          <c:strCache>
            <c:ptCount val="1"/>
            <c:pt idx="0">
              <c:v>Verkehrsmittelwahl (Modal Split) der Lehrer:innen </c:v>
            </c:pt>
          </c:strCache>
        </c:strRef>
      </c:tx>
      <c:layout>
        <c:manualLayout>
          <c:xMode val="edge"/>
          <c:yMode val="edge"/>
          <c:x val="0.14393979021173589"/>
          <c:y val="2.27686703096539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Schulwege!$C$220</c:f>
              <c:strCache>
                <c:ptCount val="1"/>
                <c:pt idx="0">
                  <c:v>zu Fuß</c:v>
                </c:pt>
              </c:strCache>
            </c:strRef>
          </c:tx>
          <c:spPr>
            <a:solidFill>
              <a:srgbClr val="FFE699"/>
            </a:solidFill>
            <a:ln>
              <a:noFill/>
            </a:ln>
            <a:effectLst/>
          </c:spPr>
          <c:invertIfNegative val="0"/>
          <c:cat>
            <c:strRef>
              <c:f>Schulwege!$G$92:$I$92</c:f>
              <c:strCache>
                <c:ptCount val="3"/>
                <c:pt idx="0">
                  <c:v>Frühjahr bis Herbst</c:v>
                </c:pt>
                <c:pt idx="1">
                  <c:v>Winter</c:v>
                </c:pt>
                <c:pt idx="2">
                  <c:v>Jahresmittel</c:v>
                </c:pt>
              </c:strCache>
            </c:strRef>
          </c:cat>
          <c:val>
            <c:numRef>
              <c:f>Schulwege!$G$220:$I$220</c:f>
              <c:numCache>
                <c:formatCode>0.0%</c:formatCode>
                <c:ptCount val="3"/>
                <c:pt idx="0">
                  <c:v>0.16666666666666666</c:v>
                </c:pt>
                <c:pt idx="1">
                  <c:v>0.16666666666666666</c:v>
                </c:pt>
                <c:pt idx="2">
                  <c:v>0.16666666666666666</c:v>
                </c:pt>
              </c:numCache>
            </c:numRef>
          </c:val>
          <c:extLst>
            <c:ext xmlns:c16="http://schemas.microsoft.com/office/drawing/2014/chart" uri="{C3380CC4-5D6E-409C-BE32-E72D297353CC}">
              <c16:uniqueId val="{00000000-5A1A-4430-901E-85F2D7762638}"/>
            </c:ext>
          </c:extLst>
        </c:ser>
        <c:ser>
          <c:idx val="1"/>
          <c:order val="1"/>
          <c:tx>
            <c:strRef>
              <c:f>Schulwege!$C$221</c:f>
              <c:strCache>
                <c:ptCount val="1"/>
                <c:pt idx="0">
                  <c:v>Fahrrad</c:v>
                </c:pt>
              </c:strCache>
            </c:strRef>
          </c:tx>
          <c:spPr>
            <a:solidFill>
              <a:srgbClr val="A9D08E"/>
            </a:solidFill>
            <a:ln>
              <a:noFill/>
            </a:ln>
            <a:effectLst/>
          </c:spPr>
          <c:invertIfNegative val="0"/>
          <c:cat>
            <c:strRef>
              <c:f>Schulwege!$G$92:$I$92</c:f>
              <c:strCache>
                <c:ptCount val="3"/>
                <c:pt idx="0">
                  <c:v>Frühjahr bis Herbst</c:v>
                </c:pt>
                <c:pt idx="1">
                  <c:v>Winter</c:v>
                </c:pt>
                <c:pt idx="2">
                  <c:v>Jahresmittel</c:v>
                </c:pt>
              </c:strCache>
            </c:strRef>
          </c:cat>
          <c:val>
            <c:numRef>
              <c:f>Schulwege!$G$221:$I$221</c:f>
              <c:numCache>
                <c:formatCode>0.0%</c:formatCode>
                <c:ptCount val="3"/>
                <c:pt idx="0">
                  <c:v>0.33333333333333331</c:v>
                </c:pt>
                <c:pt idx="1">
                  <c:v>0.16666666666666666</c:v>
                </c:pt>
                <c:pt idx="2">
                  <c:v>0.28240740740740738</c:v>
                </c:pt>
              </c:numCache>
            </c:numRef>
          </c:val>
          <c:extLst>
            <c:ext xmlns:c16="http://schemas.microsoft.com/office/drawing/2014/chart" uri="{C3380CC4-5D6E-409C-BE32-E72D297353CC}">
              <c16:uniqueId val="{00000001-5A1A-4430-901E-85F2D7762638}"/>
            </c:ext>
          </c:extLst>
        </c:ser>
        <c:ser>
          <c:idx val="2"/>
          <c:order val="2"/>
          <c:tx>
            <c:strRef>
              <c:f>Schulwege!$C$222</c:f>
              <c:strCache>
                <c:ptCount val="1"/>
                <c:pt idx="0">
                  <c:v>Bus und ÖPNV</c:v>
                </c:pt>
              </c:strCache>
            </c:strRef>
          </c:tx>
          <c:spPr>
            <a:solidFill>
              <a:srgbClr val="D9E1F2"/>
            </a:solidFill>
            <a:ln>
              <a:noFill/>
            </a:ln>
            <a:effectLst/>
          </c:spPr>
          <c:invertIfNegative val="0"/>
          <c:cat>
            <c:strRef>
              <c:f>Schulwege!$G$92:$I$92</c:f>
              <c:strCache>
                <c:ptCount val="3"/>
                <c:pt idx="0">
                  <c:v>Frühjahr bis Herbst</c:v>
                </c:pt>
                <c:pt idx="1">
                  <c:v>Winter</c:v>
                </c:pt>
                <c:pt idx="2">
                  <c:v>Jahresmittel</c:v>
                </c:pt>
              </c:strCache>
            </c:strRef>
          </c:cat>
          <c:val>
            <c:numRef>
              <c:f>Schulwege!$G$222:$I$222</c:f>
              <c:numCache>
                <c:formatCode>0.0%</c:formatCode>
                <c:ptCount val="3"/>
                <c:pt idx="0">
                  <c:v>0.5</c:v>
                </c:pt>
                <c:pt idx="1">
                  <c:v>0.33333333333333331</c:v>
                </c:pt>
                <c:pt idx="2">
                  <c:v>0.44907407407407413</c:v>
                </c:pt>
              </c:numCache>
            </c:numRef>
          </c:val>
          <c:extLst>
            <c:ext xmlns:c16="http://schemas.microsoft.com/office/drawing/2014/chart" uri="{C3380CC4-5D6E-409C-BE32-E72D297353CC}">
              <c16:uniqueId val="{00000002-5A1A-4430-901E-85F2D7762638}"/>
            </c:ext>
          </c:extLst>
        </c:ser>
        <c:ser>
          <c:idx val="3"/>
          <c:order val="3"/>
          <c:tx>
            <c:strRef>
              <c:f>Schulwege!$C$223</c:f>
              <c:strCache>
                <c:ptCount val="1"/>
                <c:pt idx="0">
                  <c:v>Auto</c:v>
                </c:pt>
              </c:strCache>
            </c:strRef>
          </c:tx>
          <c:spPr>
            <a:solidFill>
              <a:srgbClr val="F4B084"/>
            </a:solidFill>
            <a:ln>
              <a:noFill/>
            </a:ln>
            <a:effectLst/>
          </c:spPr>
          <c:invertIfNegative val="0"/>
          <c:cat>
            <c:strRef>
              <c:f>Schulwege!$G$92:$I$92</c:f>
              <c:strCache>
                <c:ptCount val="3"/>
                <c:pt idx="0">
                  <c:v>Frühjahr bis Herbst</c:v>
                </c:pt>
                <c:pt idx="1">
                  <c:v>Winter</c:v>
                </c:pt>
                <c:pt idx="2">
                  <c:v>Jahresmittel</c:v>
                </c:pt>
              </c:strCache>
            </c:strRef>
          </c:cat>
          <c:val>
            <c:numRef>
              <c:f>Schulwege!$G$223:$I$223</c:f>
              <c:numCache>
                <c:formatCode>0.0%</c:formatCode>
                <c:ptCount val="3"/>
                <c:pt idx="0">
                  <c:v>0</c:v>
                </c:pt>
                <c:pt idx="1">
                  <c:v>0.16666666666666666</c:v>
                </c:pt>
                <c:pt idx="2">
                  <c:v>5.092592592592593E-2</c:v>
                </c:pt>
              </c:numCache>
            </c:numRef>
          </c:val>
          <c:extLst>
            <c:ext xmlns:c16="http://schemas.microsoft.com/office/drawing/2014/chart" uri="{C3380CC4-5D6E-409C-BE32-E72D297353CC}">
              <c16:uniqueId val="{00000003-5A1A-4430-901E-85F2D7762638}"/>
            </c:ext>
          </c:extLst>
        </c:ser>
        <c:ser>
          <c:idx val="4"/>
          <c:order val="4"/>
          <c:tx>
            <c:strRef>
              <c:f>Schulwege!$C$224</c:f>
              <c:strCache>
                <c:ptCount val="1"/>
                <c:pt idx="0">
                  <c:v>Sonstige</c:v>
                </c:pt>
              </c:strCache>
            </c:strRef>
          </c:tx>
          <c:spPr>
            <a:solidFill>
              <a:srgbClr val="D9D9D9"/>
            </a:solidFill>
            <a:ln>
              <a:noFill/>
            </a:ln>
            <a:effectLst/>
          </c:spPr>
          <c:invertIfNegative val="0"/>
          <c:cat>
            <c:strRef>
              <c:f>Schulwege!$G$92:$I$92</c:f>
              <c:strCache>
                <c:ptCount val="3"/>
                <c:pt idx="0">
                  <c:v>Frühjahr bis Herbst</c:v>
                </c:pt>
                <c:pt idx="1">
                  <c:v>Winter</c:v>
                </c:pt>
                <c:pt idx="2">
                  <c:v>Jahresmittel</c:v>
                </c:pt>
              </c:strCache>
            </c:strRef>
          </c:cat>
          <c:val>
            <c:numRef>
              <c:f>Schulwege!$G$224:$I$224</c:f>
              <c:numCache>
                <c:formatCode>0.0%</c:formatCode>
                <c:ptCount val="3"/>
                <c:pt idx="0">
                  <c:v>0</c:v>
                </c:pt>
                <c:pt idx="1">
                  <c:v>0.16666666666666666</c:v>
                </c:pt>
                <c:pt idx="2">
                  <c:v>5.092592592592593E-2</c:v>
                </c:pt>
              </c:numCache>
            </c:numRef>
          </c:val>
          <c:extLst>
            <c:ext xmlns:c16="http://schemas.microsoft.com/office/drawing/2014/chart" uri="{C3380CC4-5D6E-409C-BE32-E72D297353CC}">
              <c16:uniqueId val="{00000004-5A1A-4430-901E-85F2D7762638}"/>
            </c:ext>
          </c:extLst>
        </c:ser>
        <c:dLbls>
          <c:showLegendKey val="0"/>
          <c:showVal val="0"/>
          <c:showCatName val="0"/>
          <c:showSerName val="0"/>
          <c:showPercent val="0"/>
          <c:showBubbleSize val="0"/>
        </c:dLbls>
        <c:gapWidth val="150"/>
        <c:overlap val="100"/>
        <c:axId val="1629692863"/>
        <c:axId val="1815490655"/>
      </c:barChart>
      <c:catAx>
        <c:axId val="16296928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15490655"/>
        <c:crosses val="autoZero"/>
        <c:auto val="1"/>
        <c:lblAlgn val="ctr"/>
        <c:lblOffset val="100"/>
        <c:noMultiLvlLbl val="0"/>
      </c:catAx>
      <c:valAx>
        <c:axId val="181549065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29692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Schulwege!$C$243</c:f>
          <c:strCache>
            <c:ptCount val="1"/>
            <c:pt idx="0">
              <c:v>Verkehrsmittelwahl (Modal Split) der Lehrer:innen im Jahresmittel</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5293703351785631E-2"/>
          <c:y val="0.28325568344819801"/>
          <c:w val="0.53012934631345077"/>
          <c:h val="0.66351082421952312"/>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1-EF31-4719-9606-7802D6B7D101}"/>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EF31-4719-9606-7802D6B7D101}"/>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5-EF31-4719-9606-7802D6B7D101}"/>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7-EF31-4719-9606-7802D6B7D101}"/>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9-EF31-4719-9606-7802D6B7D1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Schulwege!$C$220:$C$224</c:f>
              <c:strCache>
                <c:ptCount val="5"/>
                <c:pt idx="0">
                  <c:v>zu Fuß</c:v>
                </c:pt>
                <c:pt idx="1">
                  <c:v>Fahrrad</c:v>
                </c:pt>
                <c:pt idx="2">
                  <c:v>Bus und ÖPNV</c:v>
                </c:pt>
                <c:pt idx="3">
                  <c:v>Auto</c:v>
                </c:pt>
                <c:pt idx="4">
                  <c:v>Sonstige</c:v>
                </c:pt>
              </c:strCache>
            </c:strRef>
          </c:cat>
          <c:val>
            <c:numRef>
              <c:f>Schulwege!$I$220:$I$224</c:f>
              <c:numCache>
                <c:formatCode>0.0%</c:formatCode>
                <c:ptCount val="5"/>
                <c:pt idx="0">
                  <c:v>0.16666666666666666</c:v>
                </c:pt>
                <c:pt idx="1">
                  <c:v>0.28240740740740738</c:v>
                </c:pt>
                <c:pt idx="2">
                  <c:v>0.44907407407407413</c:v>
                </c:pt>
                <c:pt idx="3">
                  <c:v>5.092592592592593E-2</c:v>
                </c:pt>
                <c:pt idx="4">
                  <c:v>5.092592592592593E-2</c:v>
                </c:pt>
              </c:numCache>
            </c:numRef>
          </c:val>
          <c:extLst>
            <c:ext xmlns:c16="http://schemas.microsoft.com/office/drawing/2014/chart" uri="{C3380CC4-5D6E-409C-BE32-E72D297353CC}">
              <c16:uniqueId val="{0000000A-EF31-4719-9606-7802D6B7D10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Schulwege!$E$243</c:f>
          <c:strCache>
            <c:ptCount val="1"/>
            <c:pt idx="0">
              <c:v>Verkehrsmittelwahl (Modal Split) der Lehrer:innen (Frühjahr bis Herbst)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454268362320348E-2"/>
          <c:y val="0.28573531142136083"/>
          <c:w val="0.5308804980369366"/>
          <c:h val="0.6585515682731975"/>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1-AF02-4B2A-B4D7-99EEB78BBE74}"/>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AF02-4B2A-B4D7-99EEB78BBE74}"/>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5-AF02-4B2A-B4D7-99EEB78BBE74}"/>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7-AF02-4B2A-B4D7-99EEB78BBE74}"/>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9-AF02-4B2A-B4D7-99EEB78BBE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Schulwege!$C$220:$C$224</c:f>
              <c:strCache>
                <c:ptCount val="5"/>
                <c:pt idx="0">
                  <c:v>zu Fuß</c:v>
                </c:pt>
                <c:pt idx="1">
                  <c:v>Fahrrad</c:v>
                </c:pt>
                <c:pt idx="2">
                  <c:v>Bus und ÖPNV</c:v>
                </c:pt>
                <c:pt idx="3">
                  <c:v>Auto</c:v>
                </c:pt>
                <c:pt idx="4">
                  <c:v>Sonstige</c:v>
                </c:pt>
              </c:strCache>
            </c:strRef>
          </c:cat>
          <c:val>
            <c:numRef>
              <c:f>Schulwege!$G$220:$G$224</c:f>
              <c:numCache>
                <c:formatCode>0.0%</c:formatCode>
                <c:ptCount val="5"/>
                <c:pt idx="0">
                  <c:v>0.16666666666666666</c:v>
                </c:pt>
                <c:pt idx="1">
                  <c:v>0.33333333333333331</c:v>
                </c:pt>
                <c:pt idx="2">
                  <c:v>0.5</c:v>
                </c:pt>
                <c:pt idx="3">
                  <c:v>0</c:v>
                </c:pt>
                <c:pt idx="4">
                  <c:v>0</c:v>
                </c:pt>
              </c:numCache>
            </c:numRef>
          </c:val>
          <c:extLst>
            <c:ext xmlns:c16="http://schemas.microsoft.com/office/drawing/2014/chart" uri="{C3380CC4-5D6E-409C-BE32-E72D297353CC}">
              <c16:uniqueId val="{0000000A-AF02-4B2A-B4D7-99EEB78BBE7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Schulwege!$H$243</c:f>
          <c:strCache>
            <c:ptCount val="1"/>
            <c:pt idx="0">
              <c:v>Verkehrsmittelwahl (Modal Split) der Lehrer:innen im Winter</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4854161155218506E-2"/>
          <c:y val="0.28471213530166189"/>
          <c:w val="0.53056905959127887"/>
          <c:h val="0.66059831404187219"/>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1-8AE6-4579-AD3B-0E253143FECE}"/>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8AE6-4579-AD3B-0E253143FECE}"/>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5-8AE6-4579-AD3B-0E253143FECE}"/>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7-8AE6-4579-AD3B-0E253143FECE}"/>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9-8AE6-4579-AD3B-0E253143FEC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Schulwege!$C$220:$C$224</c:f>
              <c:strCache>
                <c:ptCount val="5"/>
                <c:pt idx="0">
                  <c:v>zu Fuß</c:v>
                </c:pt>
                <c:pt idx="1">
                  <c:v>Fahrrad</c:v>
                </c:pt>
                <c:pt idx="2">
                  <c:v>Bus und ÖPNV</c:v>
                </c:pt>
                <c:pt idx="3">
                  <c:v>Auto</c:v>
                </c:pt>
                <c:pt idx="4">
                  <c:v>Sonstige</c:v>
                </c:pt>
              </c:strCache>
            </c:strRef>
          </c:cat>
          <c:val>
            <c:numRef>
              <c:f>Schulwege!$H$220:$H$224</c:f>
              <c:numCache>
                <c:formatCode>0.0%</c:formatCode>
                <c:ptCount val="5"/>
                <c:pt idx="0">
                  <c:v>0.16666666666666666</c:v>
                </c:pt>
                <c:pt idx="1">
                  <c:v>0.16666666666666666</c:v>
                </c:pt>
                <c:pt idx="2">
                  <c:v>0.33333333333333331</c:v>
                </c:pt>
                <c:pt idx="3">
                  <c:v>0.16666666666666666</c:v>
                </c:pt>
                <c:pt idx="4">
                  <c:v>0.16666666666666666</c:v>
                </c:pt>
              </c:numCache>
            </c:numRef>
          </c:val>
          <c:extLst>
            <c:ext xmlns:c16="http://schemas.microsoft.com/office/drawing/2014/chart" uri="{C3380CC4-5D6E-409C-BE32-E72D297353CC}">
              <c16:uniqueId val="{0000000A-8AE6-4579-AD3B-0E253143FEC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Schulwege!$C$261</c:f>
          <c:strCache>
            <c:ptCount val="1"/>
            <c:pt idx="0">
              <c:v>Zurückgelegte Wegstrecke nach Verkehrsmittel für Lehrer:innen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48482329388528E-2"/>
          <c:y val="0.29659592199755247"/>
          <c:w val="0.47705607083812035"/>
          <c:h val="0.65017159995315377"/>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1-8C22-4D71-89E4-C3EB49D8D0EC}"/>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8C22-4D71-89E4-C3EB49D8D0EC}"/>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5-8C22-4D71-89E4-C3EB49D8D0EC}"/>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7-8C22-4D71-89E4-C3EB49D8D0EC}"/>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9-8C22-4D71-89E4-C3EB49D8D0E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Schulwege!$C$263:$C$267</c:f>
              <c:strCache>
                <c:ptCount val="5"/>
                <c:pt idx="0">
                  <c:v>zu Fuß</c:v>
                </c:pt>
                <c:pt idx="1">
                  <c:v>Fahrrad</c:v>
                </c:pt>
                <c:pt idx="2">
                  <c:v>Schulbus und ÖPNV</c:v>
                </c:pt>
                <c:pt idx="3">
                  <c:v>Auto</c:v>
                </c:pt>
                <c:pt idx="4">
                  <c:v>Sonstige</c:v>
                </c:pt>
              </c:strCache>
            </c:strRef>
          </c:cat>
          <c:val>
            <c:numRef>
              <c:f>Schulwege!$E$263:$E$267</c:f>
              <c:numCache>
                <c:formatCode>0%</c:formatCode>
                <c:ptCount val="5"/>
                <c:pt idx="0">
                  <c:v>7.0422535211267607E-3</c:v>
                </c:pt>
                <c:pt idx="1">
                  <c:v>0.2044209702660407</c:v>
                </c:pt>
                <c:pt idx="2">
                  <c:v>0.73043818466353683</c:v>
                </c:pt>
                <c:pt idx="3">
                  <c:v>3.0125195618153366E-2</c:v>
                </c:pt>
                <c:pt idx="4">
                  <c:v>2.7973395931142411E-2</c:v>
                </c:pt>
              </c:numCache>
            </c:numRef>
          </c:val>
          <c:extLst>
            <c:ext xmlns:c16="http://schemas.microsoft.com/office/drawing/2014/chart" uri="{C3380CC4-5D6E-409C-BE32-E72D297353CC}">
              <c16:uniqueId val="{0000000A-8C22-4D71-89E4-C3EB49D8D0E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4188889200237866"/>
          <c:y val="0.30935686510138993"/>
          <c:w val="0.43851355769140959"/>
          <c:h val="0.5812434971086002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Schulwege!$F$261</c:f>
          <c:strCache>
            <c:ptCount val="1"/>
            <c:pt idx="0">
              <c:v>Emissionen nach Verkehrsmitteln für Lehrer:innen</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037033770993684E-2"/>
          <c:y val="0.30198464510746847"/>
          <c:w val="0.48027367757641037"/>
          <c:h val="0.64478285425497206"/>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1-21F7-4066-A8DE-101CA13A69C0}"/>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21F7-4066-A8DE-101CA13A69C0}"/>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5-21F7-4066-A8DE-101CA13A69C0}"/>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7-21F7-4066-A8DE-101CA13A69C0}"/>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9-21F7-4066-A8DE-101CA13A6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Schulwege!$F$263:$F$267</c:f>
              <c:strCache>
                <c:ptCount val="5"/>
                <c:pt idx="0">
                  <c:v>zu Fuß</c:v>
                </c:pt>
                <c:pt idx="1">
                  <c:v>Fahrrad</c:v>
                </c:pt>
                <c:pt idx="2">
                  <c:v>Schulbus und ÖPNV</c:v>
                </c:pt>
                <c:pt idx="3">
                  <c:v>Auto</c:v>
                </c:pt>
                <c:pt idx="4">
                  <c:v>Sonstige</c:v>
                </c:pt>
              </c:strCache>
            </c:strRef>
          </c:cat>
          <c:val>
            <c:numRef>
              <c:f>Schulwege!$H$263:$H$267</c:f>
              <c:numCache>
                <c:formatCode>0%</c:formatCode>
                <c:ptCount val="5"/>
                <c:pt idx="0">
                  <c:v>0</c:v>
                </c:pt>
                <c:pt idx="1">
                  <c:v>0</c:v>
                </c:pt>
                <c:pt idx="2">
                  <c:v>0.84756659094696418</c:v>
                </c:pt>
                <c:pt idx="3">
                  <c:v>0.11480744099564101</c:v>
                </c:pt>
                <c:pt idx="4">
                  <c:v>3.762596805739496E-2</c:v>
                </c:pt>
              </c:numCache>
            </c:numRef>
          </c:val>
          <c:extLst>
            <c:ext xmlns:c16="http://schemas.microsoft.com/office/drawing/2014/chart" uri="{C3380CC4-5D6E-409C-BE32-E72D297353CC}">
              <c16:uniqueId val="{0000000A-21F7-4066-A8DE-101CA13A69C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4104989808364379"/>
          <c:y val="0.32013503954565881"/>
          <c:w val="0.43935257749293666"/>
          <c:h val="0.5704652762425195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Schulwege!$B$16</c:f>
          <c:strCache>
            <c:ptCount val="1"/>
            <c:pt idx="0">
              <c:v>Zusammenfassung Emissionen Mobilität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415441819772527E-2"/>
          <c:y val="0.22066642122223409"/>
          <c:w val="0.38342331519221867"/>
          <c:h val="0.671762587647558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5B-4717-A219-5D4BD1163C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5B-4717-A219-5D4BD1163C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5B-4717-A219-5D4BD1163C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05B-4717-A219-5D4BD1163CE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Schulwege!$C$18:$C$21</c:f>
              <c:strCache>
                <c:ptCount val="4"/>
                <c:pt idx="0">
                  <c:v>Schulweg Schüler:innen</c:v>
                </c:pt>
                <c:pt idx="1">
                  <c:v>Schulweg Lehrer:innen</c:v>
                </c:pt>
                <c:pt idx="2">
                  <c:v>Klassenfahrten</c:v>
                </c:pt>
                <c:pt idx="3">
                  <c:v>Schüleraustausch</c:v>
                </c:pt>
              </c:strCache>
            </c:strRef>
          </c:cat>
          <c:val>
            <c:numRef>
              <c:f>Schulwege!$D$18:$D$21</c:f>
              <c:numCache>
                <c:formatCode>#,##0\ "kg CO₂"</c:formatCode>
                <c:ptCount val="4"/>
                <c:pt idx="0">
                  <c:v>50046.57</c:v>
                </c:pt>
                <c:pt idx="1">
                  <c:v>9406.4024999999983</c:v>
                </c:pt>
                <c:pt idx="2">
                  <c:v>12959.25</c:v>
                </c:pt>
                <c:pt idx="3">
                  <c:v>6423</c:v>
                </c:pt>
              </c:numCache>
            </c:numRef>
          </c:val>
          <c:extLst>
            <c:ext xmlns:c16="http://schemas.microsoft.com/office/drawing/2014/chart" uri="{C3380CC4-5D6E-409C-BE32-E72D297353CC}">
              <c16:uniqueId val="{00000000-ADE9-48F0-8647-4BA47AD2E804}"/>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7410138760228502"/>
          <c:y val="0.180967763644929"/>
          <c:w val="0.40923194573104826"/>
          <c:h val="0.779290823941124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Klassenfahrten!$B$72</c:f>
          <c:strCache>
            <c:ptCount val="1"/>
            <c:pt idx="0">
              <c:v>CO₂-Emissionen der Klassenfahrten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5445604718302884E-2"/>
          <c:y val="0.20740266825762541"/>
          <c:w val="0.36573901268026215"/>
          <c:h val="0.6491986984492078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78-47B4-8213-A3E682ABEA0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78-47B4-8213-A3E682ABEA0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78-47B4-8213-A3E682ABEA0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F78-47B4-8213-A3E682ABEA0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F78-47B4-8213-A3E682ABEA0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F78-47B4-8213-A3E682ABEA0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Klassenfahrten!$B$75:$B$80</c:f>
              <c:strCache>
                <c:ptCount val="6"/>
                <c:pt idx="0">
                  <c:v>Beispiel Klassenfahrt England 9c</c:v>
                </c:pt>
                <c:pt idx="1">
                  <c:v>Beispiel Klassenfahrt Berlin 10a</c:v>
                </c:pt>
                <c:pt idx="2">
                  <c:v>Beispiel Landschulheim 10b</c:v>
                </c:pt>
                <c:pt idx="3">
                  <c:v>0</c:v>
                </c:pt>
                <c:pt idx="4">
                  <c:v>0</c:v>
                </c:pt>
                <c:pt idx="5">
                  <c:v>Sonstige</c:v>
                </c:pt>
              </c:strCache>
            </c:strRef>
          </c:cat>
          <c:val>
            <c:numRef>
              <c:f>Klassenfahrten!$C$75:$C$80</c:f>
              <c:numCache>
                <c:formatCode>0%</c:formatCode>
                <c:ptCount val="6"/>
                <c:pt idx="0">
                  <c:v>0.96425333256168377</c:v>
                </c:pt>
                <c:pt idx="1">
                  <c:v>3.5110056523332753E-2</c:v>
                </c:pt>
                <c:pt idx="2">
                  <c:v>6.3661091498350597E-4</c:v>
                </c:pt>
                <c:pt idx="3">
                  <c:v>0</c:v>
                </c:pt>
                <c:pt idx="4">
                  <c:v>0</c:v>
                </c:pt>
                <c:pt idx="5">
                  <c:v>0</c:v>
                </c:pt>
              </c:numCache>
            </c:numRef>
          </c:val>
          <c:extLst>
            <c:ext xmlns:c16="http://schemas.microsoft.com/office/drawing/2014/chart" uri="{C3380CC4-5D6E-409C-BE32-E72D297353CC}">
              <c16:uniqueId val="{00000000-F086-4AC1-A0A3-FE142E3F44F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49603233219173237"/>
          <c:y val="0.19619504421583134"/>
          <c:w val="0.47411363765018893"/>
          <c:h val="0.669214555702527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Vergleichswerte Stromverbrauch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tx>
            <c:strRef>
              <c:f>Stromverbrauch!$C$47</c:f>
              <c:strCache>
                <c:ptCount val="1"/>
                <c:pt idx="0">
                  <c:v>niedrig</c:v>
                </c:pt>
              </c:strCache>
            </c:strRef>
          </c:tx>
          <c:spPr>
            <a:solidFill>
              <a:srgbClr val="00A552"/>
            </a:solidFill>
            <a:ln>
              <a:noFill/>
            </a:ln>
            <a:effectLst/>
          </c:spPr>
          <c:invertIfNegative val="0"/>
          <c:val>
            <c:numRef>
              <c:f>Stromverbrauch!$D$47</c:f>
              <c:numCache>
                <c:formatCode>#,##0\ "kWh/a"</c:formatCode>
                <c:ptCount val="1"/>
                <c:pt idx="0">
                  <c:v>150</c:v>
                </c:pt>
              </c:numCache>
            </c:numRef>
          </c:val>
          <c:extLst>
            <c:ext xmlns:c16="http://schemas.microsoft.com/office/drawing/2014/chart" uri="{C3380CC4-5D6E-409C-BE32-E72D297353CC}">
              <c16:uniqueId val="{00000000-4281-4339-88C9-F7A8854EA27F}"/>
            </c:ext>
          </c:extLst>
        </c:ser>
        <c:ser>
          <c:idx val="1"/>
          <c:order val="1"/>
          <c:tx>
            <c:strRef>
              <c:f>Stromverbrauch!$C$48</c:f>
              <c:strCache>
                <c:ptCount val="1"/>
                <c:pt idx="0">
                  <c:v>mittel</c:v>
                </c:pt>
              </c:strCache>
            </c:strRef>
          </c:tx>
          <c:spPr>
            <a:solidFill>
              <a:srgbClr val="FCBA32"/>
            </a:solidFill>
            <a:ln>
              <a:noFill/>
            </a:ln>
            <a:effectLst/>
          </c:spPr>
          <c:invertIfNegative val="0"/>
          <c:val>
            <c:numRef>
              <c:f>Stromverbrauch!$D$48</c:f>
              <c:numCache>
                <c:formatCode>#,##0\ "kWh/a"</c:formatCode>
                <c:ptCount val="1"/>
                <c:pt idx="0">
                  <c:v>100</c:v>
                </c:pt>
              </c:numCache>
            </c:numRef>
          </c:val>
          <c:extLst>
            <c:ext xmlns:c16="http://schemas.microsoft.com/office/drawing/2014/chart" uri="{C3380CC4-5D6E-409C-BE32-E72D297353CC}">
              <c16:uniqueId val="{00000001-4281-4339-88C9-F7A8854EA27F}"/>
            </c:ext>
          </c:extLst>
        </c:ser>
        <c:ser>
          <c:idx val="2"/>
          <c:order val="2"/>
          <c:tx>
            <c:strRef>
              <c:f>Stromverbrauch!$C$49</c:f>
              <c:strCache>
                <c:ptCount val="1"/>
                <c:pt idx="0">
                  <c:v>hoch</c:v>
                </c:pt>
              </c:strCache>
            </c:strRef>
          </c:tx>
          <c:spPr>
            <a:solidFill>
              <a:srgbClr val="EF2730"/>
            </a:solidFill>
            <a:ln>
              <a:noFill/>
            </a:ln>
            <a:effectLst/>
          </c:spPr>
          <c:invertIfNegative val="0"/>
          <c:val>
            <c:numRef>
              <c:f>Stromverbrauch!$D$49</c:f>
              <c:numCache>
                <c:formatCode>#,##0\ "kWh/a"</c:formatCode>
                <c:ptCount val="1"/>
                <c:pt idx="0">
                  <c:v>150</c:v>
                </c:pt>
              </c:numCache>
            </c:numRef>
          </c:val>
          <c:extLst>
            <c:ext xmlns:c16="http://schemas.microsoft.com/office/drawing/2014/chart" uri="{C3380CC4-5D6E-409C-BE32-E72D297353CC}">
              <c16:uniqueId val="{00000002-4281-4339-88C9-F7A8854EA27F}"/>
            </c:ext>
          </c:extLst>
        </c:ser>
        <c:dLbls>
          <c:showLegendKey val="0"/>
          <c:showVal val="0"/>
          <c:showCatName val="0"/>
          <c:showSerName val="0"/>
          <c:showPercent val="0"/>
          <c:showBubbleSize val="0"/>
        </c:dLbls>
        <c:gapWidth val="150"/>
        <c:overlap val="100"/>
        <c:axId val="535280303"/>
        <c:axId val="535279055"/>
      </c:barChart>
      <c:catAx>
        <c:axId val="535280303"/>
        <c:scaling>
          <c:orientation val="minMax"/>
        </c:scaling>
        <c:delete val="1"/>
        <c:axPos val="l"/>
        <c:numFmt formatCode="General" sourceLinked="1"/>
        <c:majorTickMark val="none"/>
        <c:minorTickMark val="none"/>
        <c:tickLblPos val="nextTo"/>
        <c:crossAx val="535279055"/>
        <c:crosses val="autoZero"/>
        <c:auto val="1"/>
        <c:lblAlgn val="ctr"/>
        <c:lblOffset val="100"/>
        <c:noMultiLvlLbl val="0"/>
      </c:catAx>
      <c:valAx>
        <c:axId val="535279055"/>
        <c:scaling>
          <c:orientation val="minMax"/>
          <c:max val="400"/>
          <c:min val="0"/>
        </c:scaling>
        <c:delete val="0"/>
        <c:axPos val="b"/>
        <c:majorGridlines>
          <c:spPr>
            <a:ln w="9525" cap="flat" cmpd="sng" algn="ctr">
              <a:solidFill>
                <a:schemeClr val="tx1">
                  <a:lumMod val="15000"/>
                  <a:lumOff val="85000"/>
                </a:schemeClr>
              </a:solidFill>
              <a:round/>
            </a:ln>
            <a:effectLst/>
          </c:spPr>
        </c:majorGridlines>
        <c:numFmt formatCode="#,##0\ &quot;kWh/a&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5280303"/>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Klassenfahrten!$B$72</c:f>
          <c:strCache>
            <c:ptCount val="1"/>
            <c:pt idx="0">
              <c:v>CO₂-Emissionen der Klassenfahrten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0640018724069479E-2"/>
          <c:y val="0.24728130531885242"/>
          <c:w val="0.36573901268026215"/>
          <c:h val="0.6491986984492078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78-47B4-8213-A3E682ABEA0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78-47B4-8213-A3E682ABEA0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78-47B4-8213-A3E682ABEA0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F78-47B4-8213-A3E682ABEA0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F78-47B4-8213-A3E682ABEA0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F78-47B4-8213-A3E682ABEA0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Klassenfahrten!$B$75:$B$79</c:f>
              <c:strCache>
                <c:ptCount val="5"/>
                <c:pt idx="0">
                  <c:v>Beispiel Klassenfahrt England 9c</c:v>
                </c:pt>
                <c:pt idx="1">
                  <c:v>Beispiel Klassenfahrt Berlin 10a</c:v>
                </c:pt>
                <c:pt idx="2">
                  <c:v>Beispiel Landschulheim 10b</c:v>
                </c:pt>
                <c:pt idx="3">
                  <c:v>0</c:v>
                </c:pt>
                <c:pt idx="4">
                  <c:v>0</c:v>
                </c:pt>
              </c:strCache>
            </c:strRef>
          </c:cat>
          <c:val>
            <c:numRef>
              <c:f>Klassenfahrten!$C$75:$C$79</c:f>
              <c:numCache>
                <c:formatCode>0%</c:formatCode>
                <c:ptCount val="5"/>
                <c:pt idx="0">
                  <c:v>0.96425333256168377</c:v>
                </c:pt>
                <c:pt idx="1">
                  <c:v>3.5110056523332753E-2</c:v>
                </c:pt>
                <c:pt idx="2">
                  <c:v>6.3661091498350597E-4</c:v>
                </c:pt>
                <c:pt idx="3">
                  <c:v>0</c:v>
                </c:pt>
                <c:pt idx="4">
                  <c:v>0</c:v>
                </c:pt>
              </c:numCache>
            </c:numRef>
          </c:val>
          <c:extLst>
            <c:ext xmlns:c16="http://schemas.microsoft.com/office/drawing/2014/chart" uri="{C3380CC4-5D6E-409C-BE32-E72D297353CC}">
              <c16:uniqueId val="{00000000-F086-4AC1-A0A3-FE142E3F44F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49603233219173237"/>
          <c:y val="0.19619504421583134"/>
          <c:w val="0.47411363765018893"/>
          <c:h val="0.734017340927021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Klassenfahrten!$B$84</c:f>
          <c:strCache>
            <c:ptCount val="1"/>
            <c:pt idx="0">
              <c:v>Klassenfahrten mit höchsten CO₂-Emissionen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5445604718302884E-2"/>
          <c:y val="0.20740266825762541"/>
          <c:w val="0.36573901268026215"/>
          <c:h val="0.6491986984492078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78-47B4-8213-A3E682ABEA0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78-47B4-8213-A3E682ABEA0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78-47B4-8213-A3E682ABEA0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F78-47B4-8213-A3E682ABEA0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F78-47B4-8213-A3E682ABEA0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F78-47B4-8213-A3E682ABEA0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Klassenfahrten!$B$85:$B$90</c:f>
              <c:strCache>
                <c:ptCount val="6"/>
                <c:pt idx="0">
                  <c:v>Beispiel Klassenfahrt England 9c</c:v>
                </c:pt>
                <c:pt idx="1">
                  <c:v>Beispiel Klassenfahrt Berlin 10a</c:v>
                </c:pt>
                <c:pt idx="2">
                  <c:v>Beispiel Landschulheim 10b</c:v>
                </c:pt>
                <c:pt idx="3">
                  <c:v>0</c:v>
                </c:pt>
                <c:pt idx="4">
                  <c:v>0</c:v>
                </c:pt>
                <c:pt idx="5">
                  <c:v>Sonstige</c:v>
                </c:pt>
              </c:strCache>
            </c:strRef>
          </c:cat>
          <c:val>
            <c:numRef>
              <c:f>Klassenfahrten!$C$85:$C$90</c:f>
              <c:numCache>
                <c:formatCode>0%</c:formatCode>
                <c:ptCount val="6"/>
                <c:pt idx="0">
                  <c:v>0.96425333256168377</c:v>
                </c:pt>
                <c:pt idx="1">
                  <c:v>3.5110056523332753E-2</c:v>
                </c:pt>
                <c:pt idx="2">
                  <c:v>6.3661091498350597E-4</c:v>
                </c:pt>
                <c:pt idx="3">
                  <c:v>0</c:v>
                </c:pt>
                <c:pt idx="4">
                  <c:v>0</c:v>
                </c:pt>
                <c:pt idx="5">
                  <c:v>0</c:v>
                </c:pt>
              </c:numCache>
            </c:numRef>
          </c:val>
          <c:extLst>
            <c:ext xmlns:c16="http://schemas.microsoft.com/office/drawing/2014/chart" uri="{C3380CC4-5D6E-409C-BE32-E72D297353CC}">
              <c16:uniqueId val="{00000000-F086-4AC1-A0A3-FE142E3F44F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49603233219173237"/>
          <c:y val="0.19619504421583134"/>
          <c:w val="0.47411363765018893"/>
          <c:h val="0.669214555702527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Schüleraustausch!$B$73</c:f>
          <c:strCache>
            <c:ptCount val="1"/>
            <c:pt idx="0">
              <c:v>CO₂-Emissionen vom Schüleraustausch</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5445604718302884E-2"/>
          <c:y val="0.20740266825762541"/>
          <c:w val="0.36573901268026215"/>
          <c:h val="0.6491986984492078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1A-4FAF-A030-C5A21DDA81D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1A-4FAF-A030-C5A21DDA81D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1A-4FAF-A030-C5A21DDA81D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F1A-4FAF-A030-C5A21DDA81D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F1A-4FAF-A030-C5A21DDA81D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F1A-4FAF-A030-C5A21DDA81D4}"/>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Schüleraustausch!$B$76:$B$81</c:f>
              <c:strCache>
                <c:ptCount val="6"/>
                <c:pt idx="0">
                  <c:v>Beispiel Schüleraustausch USA 1</c:v>
                </c:pt>
                <c:pt idx="1">
                  <c:v>Beispiel Schüleraustausch USA 2</c:v>
                </c:pt>
                <c:pt idx="2">
                  <c:v>Beispiel Austausch Frankreich 1</c:v>
                </c:pt>
                <c:pt idx="3">
                  <c:v>Beispiel Austausch  Frankreich 2</c:v>
                </c:pt>
                <c:pt idx="4">
                  <c:v>0</c:v>
                </c:pt>
                <c:pt idx="5">
                  <c:v>Sonstige</c:v>
                </c:pt>
              </c:strCache>
            </c:strRef>
          </c:cat>
          <c:val>
            <c:numRef>
              <c:f>Schüleraustausch!$D$76:$D$81</c:f>
              <c:numCache>
                <c:formatCode>0%</c:formatCode>
                <c:ptCount val="6"/>
                <c:pt idx="0">
                  <c:v>0.35030359645025688</c:v>
                </c:pt>
                <c:pt idx="1">
                  <c:v>0.60719290051377861</c:v>
                </c:pt>
                <c:pt idx="2">
                  <c:v>3.8144169391250197E-3</c:v>
                </c:pt>
                <c:pt idx="3">
                  <c:v>3.8689086096839485E-2</c:v>
                </c:pt>
                <c:pt idx="4">
                  <c:v>0</c:v>
                </c:pt>
                <c:pt idx="5">
                  <c:v>0</c:v>
                </c:pt>
              </c:numCache>
            </c:numRef>
          </c:val>
          <c:extLst>
            <c:ext xmlns:c16="http://schemas.microsoft.com/office/drawing/2014/chart" uri="{C3380CC4-5D6E-409C-BE32-E72D297353CC}">
              <c16:uniqueId val="{0000000C-9F1A-4FAF-A030-C5A21DDA81D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4960324278631798"/>
          <c:y val="0.19619500451351024"/>
          <c:w val="0.47411363765018893"/>
          <c:h val="0.7762623479324349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Ernährung!$B$186</c:f>
          <c:strCache>
            <c:ptCount val="1"/>
            <c:pt idx="0">
              <c:v>CO₂-Bilanz Gericht 1: Hamburger</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B2-4E1D-B90B-C53AE94383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B2-4E1D-B90B-C53AE94383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DB2-4E1D-B90B-C53AE94383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DB2-4E1D-B90B-C53AE94383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DB2-4E1D-B90B-C53AE94383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DB2-4E1D-B90B-C53AE94383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Ernährung!$D$190:$D$195</c:f>
              <c:strCache>
                <c:ptCount val="5"/>
                <c:pt idx="0">
                  <c:v>Brötchen, Weißbrot</c:v>
                </c:pt>
                <c:pt idx="1">
                  <c:v>Rinder-Hackfleisch</c:v>
                </c:pt>
                <c:pt idx="2">
                  <c:v>Salatmischung, gewaschen</c:v>
                </c:pt>
                <c:pt idx="3">
                  <c:v>Käse, Durchschnitt</c:v>
                </c:pt>
                <c:pt idx="4">
                  <c:v>Saft, Apfelsaft, 1,0 L-Glasmehrwegflasche</c:v>
                </c:pt>
              </c:strCache>
            </c:strRef>
          </c:cat>
          <c:val>
            <c:numRef>
              <c:f>Ernährung!$H$190:$H$195</c:f>
              <c:numCache>
                <c:formatCode>#,##0\ "gCO₂"</c:formatCode>
                <c:ptCount val="6"/>
                <c:pt idx="0">
                  <c:v>70</c:v>
                </c:pt>
                <c:pt idx="1">
                  <c:v>1380</c:v>
                </c:pt>
                <c:pt idx="2">
                  <c:v>7.6</c:v>
                </c:pt>
                <c:pt idx="3">
                  <c:v>285</c:v>
                </c:pt>
                <c:pt idx="4">
                  <c:v>80</c:v>
                </c:pt>
                <c:pt idx="5">
                  <c:v>0</c:v>
                </c:pt>
              </c:numCache>
            </c:numRef>
          </c:val>
          <c:extLst>
            <c:ext xmlns:c16="http://schemas.microsoft.com/office/drawing/2014/chart" uri="{C3380CC4-5D6E-409C-BE32-E72D297353CC}">
              <c16:uniqueId val="{0000000C-6DB2-4E1D-B90B-C53AE9438335}"/>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Ernährung!$B$199</c:f>
          <c:strCache>
            <c:ptCount val="1"/>
            <c:pt idx="0">
              <c:v>CO₂-Bilanz Gericht 2: Menü 2 Pfannenkuchen</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50-4381-99B2-5DA247E4DCE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50-4381-99B2-5DA247E4DCE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50-4381-99B2-5DA247E4DCE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50-4381-99B2-5DA247E4DC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50-4381-99B2-5DA247E4DC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850-4381-99B2-5DA247E4DC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Ernährung!$D$203:$D$208</c:f>
              <c:strCache>
                <c:ptCount val="5"/>
                <c:pt idx="0">
                  <c:v>Dinkel, Reisersatz</c:v>
                </c:pt>
                <c:pt idx="1">
                  <c:v>Ei</c:v>
                </c:pt>
                <c:pt idx="2">
                  <c:v>Butter</c:v>
                </c:pt>
                <c:pt idx="3">
                  <c:v>Spinat, Blattspinat, gefroren</c:v>
                </c:pt>
                <c:pt idx="4">
                  <c:v>Mehl</c:v>
                </c:pt>
              </c:strCache>
            </c:strRef>
          </c:cat>
          <c:val>
            <c:numRef>
              <c:f>Ernährung!$H$203:$H$208</c:f>
              <c:numCache>
                <c:formatCode>#,##0\ "gCO₂"</c:formatCode>
                <c:ptCount val="6"/>
                <c:pt idx="0">
                  <c:v>280</c:v>
                </c:pt>
                <c:pt idx="1">
                  <c:v>360</c:v>
                </c:pt>
                <c:pt idx="2">
                  <c:v>720</c:v>
                </c:pt>
                <c:pt idx="3">
                  <c:v>120</c:v>
                </c:pt>
                <c:pt idx="4">
                  <c:v>240</c:v>
                </c:pt>
                <c:pt idx="5">
                  <c:v>0</c:v>
                </c:pt>
              </c:numCache>
            </c:numRef>
          </c:val>
          <c:extLst>
            <c:ext xmlns:c16="http://schemas.microsoft.com/office/drawing/2014/chart" uri="{C3380CC4-5D6E-409C-BE32-E72D297353CC}">
              <c16:uniqueId val="{0000000C-6850-4381-99B2-5DA247E4DCE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Ernährung!$B$225</c:f>
          <c:strCache>
            <c:ptCount val="1"/>
            <c:pt idx="0">
              <c:v>CO₂-Bilanz Gericht 4: Menü 4</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42-40BC-8116-72679394CF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42-40BC-8116-72679394CF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A42-40BC-8116-72679394CF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A42-40BC-8116-72679394CF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A42-40BC-8116-72679394CFF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A42-40BC-8116-72679394CF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Ernährung!$H$229:$H$234</c:f>
              <c:numCache>
                <c:formatCode>#,##0\ "gCO₂"</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Ernährung!$D$229:$D$234</c15:sqref>
                        </c15:formulaRef>
                      </c:ext>
                    </c:extLst>
                  </c:multiLvlStrRef>
                </c15:cat>
              </c15:filteredCategoryTitle>
            </c:ext>
            <c:ext xmlns:c16="http://schemas.microsoft.com/office/drawing/2014/chart" uri="{C3380CC4-5D6E-409C-BE32-E72D297353CC}">
              <c16:uniqueId val="{0000000C-4A42-40BC-8116-72679394CFF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Ernährung!$B$238</c:f>
          <c:strCache>
            <c:ptCount val="1"/>
            <c:pt idx="0">
              <c:v>CO₂-Bilanz Gericht 5: Menü 5</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E53-48A3-ABE7-FC4F94DCE9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E53-48A3-ABE7-FC4F94DCE9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E53-48A3-ABE7-FC4F94DCE9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E53-48A3-ABE7-FC4F94DCE9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E53-48A3-ABE7-FC4F94DCE9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E53-48A3-ABE7-FC4F94DCE90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Ernährung!$D$242:$D$247</c:f>
              <c:numCache>
                <c:formatCode>General</c:formatCode>
                <c:ptCount val="6"/>
              </c:numCache>
            </c:numRef>
          </c:cat>
          <c:val>
            <c:numRef>
              <c:f>Ernährung!$H$242:$H$247</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9E53-48A3-ABE7-FC4F94DCE903}"/>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Ernährung!$B$251</c:f>
          <c:strCache>
            <c:ptCount val="1"/>
            <c:pt idx="0">
              <c:v>CO₂-Bilanz Gericht 6: Menü 6</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2D-4F44-9F67-DBB05721B5A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2D-4F44-9F67-DBB05721B5A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E2D-4F44-9F67-DBB05721B5A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E2D-4F44-9F67-DBB05721B5A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E2D-4F44-9F67-DBB05721B5A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2D-4F44-9F67-DBB05721B5A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Ernährung!$D$255:$D$260</c:f>
              <c:numCache>
                <c:formatCode>General</c:formatCode>
                <c:ptCount val="6"/>
              </c:numCache>
            </c:numRef>
          </c:cat>
          <c:val>
            <c:numRef>
              <c:f>Ernährung!$H$255:$H$260</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E2D-4F44-9F67-DBB05721B5A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Ernährung!$B$264</c:f>
          <c:strCache>
            <c:ptCount val="1"/>
            <c:pt idx="0">
              <c:v>CO₂-Bilanz Gericht 7: Menü 7</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F38-44BB-8A90-7D71959EAD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38-44BB-8A90-7D71959EAD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F38-44BB-8A90-7D71959EAD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F38-44BB-8A90-7D71959EAD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F38-44BB-8A90-7D71959EAD3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F38-44BB-8A90-7D71959EAD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Ernährung!$D$268:$D$273</c:f>
              <c:numCache>
                <c:formatCode>General</c:formatCode>
                <c:ptCount val="6"/>
              </c:numCache>
            </c:numRef>
          </c:cat>
          <c:val>
            <c:numRef>
              <c:f>Ernährung!$H$268:$H$273</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DF38-44BB-8A90-7D71959EAD34}"/>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Ernährung!$B$212</c:f>
          <c:strCache>
            <c:ptCount val="1"/>
            <c:pt idx="0">
              <c:v>CO₂-Bilanz Gericht 3: Chili sin Carne</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50-4381-99B2-5DA247E4DCE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50-4381-99B2-5DA247E4DCE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50-4381-99B2-5DA247E4DCE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50-4381-99B2-5DA247E4DC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50-4381-99B2-5DA247E4DC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850-4381-99B2-5DA247E4DC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Ernährung!$D$216:$D$221</c:f>
              <c:strCache>
                <c:ptCount val="5"/>
                <c:pt idx="0">
                  <c:v>Bohnen, Dose</c:v>
                </c:pt>
                <c:pt idx="1">
                  <c:v>Tomaten, passiert, Dose</c:v>
                </c:pt>
                <c:pt idx="2">
                  <c:v>Zwiebeln</c:v>
                </c:pt>
                <c:pt idx="3">
                  <c:v>Reis</c:v>
                </c:pt>
                <c:pt idx="4">
                  <c:v>Käse, Hartkäse, wie Emmentaler</c:v>
                </c:pt>
              </c:strCache>
            </c:strRef>
          </c:cat>
          <c:val>
            <c:numRef>
              <c:f>Ernährung!$H$216:$H$221</c:f>
              <c:numCache>
                <c:formatCode>#,##0\ "gCO₂"</c:formatCode>
                <c:ptCount val="6"/>
                <c:pt idx="0">
                  <c:v>650</c:v>
                </c:pt>
                <c:pt idx="1">
                  <c:v>900</c:v>
                </c:pt>
                <c:pt idx="2">
                  <c:v>38</c:v>
                </c:pt>
                <c:pt idx="3">
                  <c:v>930</c:v>
                </c:pt>
                <c:pt idx="4">
                  <c:v>600</c:v>
                </c:pt>
                <c:pt idx="5">
                  <c:v>0</c:v>
                </c:pt>
              </c:numCache>
            </c:numRef>
          </c:val>
          <c:extLst>
            <c:ext xmlns:c16="http://schemas.microsoft.com/office/drawing/2014/chart" uri="{C3380CC4-5D6E-409C-BE32-E72D297353CC}">
              <c16:uniqueId val="{0000000C-6850-4381-99B2-5DA247E4DCE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Solarproduktion</a:t>
            </a:r>
            <a:r>
              <a:rPr lang="en-GB" baseline="0"/>
              <a:t> </a:t>
            </a:r>
            <a:r>
              <a:rPr lang="en-GB"/>
              <a:t>und Stromverbrauch pro Monat </a:t>
            </a:r>
          </a:p>
        </c:rich>
      </c:tx>
      <c:layout>
        <c:manualLayout>
          <c:xMode val="edge"/>
          <c:yMode val="edge"/>
          <c:x val="0.16323153883167477"/>
          <c:y val="3.09256928408373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0"/>
          <c:order val="0"/>
          <c:tx>
            <c:strRef>
              <c:f>PV!$C$84</c:f>
              <c:strCache>
                <c:ptCount val="1"/>
                <c:pt idx="0">
                  <c:v>Solarproduktion</c:v>
                </c:pt>
              </c:strCache>
            </c:strRef>
          </c:tx>
          <c:spPr>
            <a:solidFill>
              <a:srgbClr val="FFC001">
                <a:alpha val="54000"/>
              </a:srgbClr>
            </a:solidFill>
            <a:ln w="25400">
              <a:noFill/>
            </a:ln>
            <a:effectLst/>
          </c:spPr>
          <c:cat>
            <c:strRef>
              <c:f>PV!$B$85:$B$96</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PV!$C$85:$C$96</c:f>
              <c:numCache>
                <c:formatCode>#,##0\ "kWh"</c:formatCode>
                <c:ptCount val="12"/>
                <c:pt idx="0">
                  <c:v>3280.7573303752069</c:v>
                </c:pt>
                <c:pt idx="1">
                  <c:v>4989.0670569047052</c:v>
                </c:pt>
                <c:pt idx="2">
                  <c:v>7490.7797062674126</c:v>
                </c:pt>
                <c:pt idx="3">
                  <c:v>9417.4348825617944</c:v>
                </c:pt>
                <c:pt idx="4">
                  <c:v>10814.602429933993</c:v>
                </c:pt>
                <c:pt idx="5">
                  <c:v>10798.852953937696</c:v>
                </c:pt>
                <c:pt idx="6">
                  <c:v>11540.96386100237</c:v>
                </c:pt>
                <c:pt idx="7">
                  <c:v>11021.083732005047</c:v>
                </c:pt>
                <c:pt idx="8">
                  <c:v>8655.1270901495409</c:v>
                </c:pt>
                <c:pt idx="9">
                  <c:v>5931.9695931821907</c:v>
                </c:pt>
                <c:pt idx="10">
                  <c:v>3916.0180133511767</c:v>
                </c:pt>
                <c:pt idx="11">
                  <c:v>2718.9772239465638</c:v>
                </c:pt>
              </c:numCache>
            </c:numRef>
          </c:val>
          <c:extLst>
            <c:ext xmlns:c16="http://schemas.microsoft.com/office/drawing/2014/chart" uri="{C3380CC4-5D6E-409C-BE32-E72D297353CC}">
              <c16:uniqueId val="{00000000-8B01-409A-B63E-81FA3AD171A8}"/>
            </c:ext>
          </c:extLst>
        </c:ser>
        <c:ser>
          <c:idx val="1"/>
          <c:order val="1"/>
          <c:tx>
            <c:strRef>
              <c:f>PV!$D$84</c:f>
              <c:strCache>
                <c:ptCount val="1"/>
                <c:pt idx="0">
                  <c:v>Verbrauch</c:v>
                </c:pt>
              </c:strCache>
            </c:strRef>
          </c:tx>
          <c:spPr>
            <a:solidFill>
              <a:srgbClr val="A3D1FF">
                <a:alpha val="30000"/>
              </a:srgbClr>
            </a:solidFill>
            <a:ln w="25400">
              <a:noFill/>
            </a:ln>
            <a:effectLst/>
          </c:spPr>
          <c:cat>
            <c:strRef>
              <c:f>PV!$B$85:$B$96</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PV!$D$85:$D$96</c:f>
              <c:numCache>
                <c:formatCode>#,##0\ "kWh"</c:formatCode>
                <c:ptCount val="12"/>
                <c:pt idx="0">
                  <c:v>9393.9060599999975</c:v>
                </c:pt>
                <c:pt idx="1">
                  <c:v>8662.9133699999984</c:v>
                </c:pt>
                <c:pt idx="2">
                  <c:v>9010.909889999999</c:v>
                </c:pt>
                <c:pt idx="3">
                  <c:v>8326.916729999999</c:v>
                </c:pt>
                <c:pt idx="4">
                  <c:v>7961.9203799999996</c:v>
                </c:pt>
                <c:pt idx="5">
                  <c:v>7464.9253499999995</c:v>
                </c:pt>
                <c:pt idx="6">
                  <c:v>7757.9224199999981</c:v>
                </c:pt>
                <c:pt idx="7">
                  <c:v>7551.9244799999979</c:v>
                </c:pt>
                <c:pt idx="8">
                  <c:v>7566.9243299999989</c:v>
                </c:pt>
                <c:pt idx="9">
                  <c:v>8550.9144899999992</c:v>
                </c:pt>
                <c:pt idx="10">
                  <c:v>8564.9143499999991</c:v>
                </c:pt>
                <c:pt idx="11">
                  <c:v>9184.9081499999993</c:v>
                </c:pt>
              </c:numCache>
            </c:numRef>
          </c:val>
          <c:extLst>
            <c:ext xmlns:c16="http://schemas.microsoft.com/office/drawing/2014/chart" uri="{C3380CC4-5D6E-409C-BE32-E72D297353CC}">
              <c16:uniqueId val="{00000001-8B01-409A-B63E-81FA3AD171A8}"/>
            </c:ext>
          </c:extLst>
        </c:ser>
        <c:dLbls>
          <c:showLegendKey val="0"/>
          <c:showVal val="0"/>
          <c:showCatName val="0"/>
          <c:showSerName val="0"/>
          <c:showPercent val="0"/>
          <c:showBubbleSize val="0"/>
        </c:dLbls>
        <c:axId val="1682095455"/>
        <c:axId val="1867702367"/>
      </c:areaChart>
      <c:catAx>
        <c:axId val="1682095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67702367"/>
        <c:crosses val="autoZero"/>
        <c:auto val="1"/>
        <c:lblAlgn val="ctr"/>
        <c:lblOffset val="100"/>
        <c:noMultiLvlLbl val="0"/>
      </c:catAx>
      <c:valAx>
        <c:axId val="1867702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quot;kWh&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8209545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Ernährung!$B$277</c:f>
          <c:strCache>
            <c:ptCount val="1"/>
            <c:pt idx="0">
              <c:v>CO₂-Bilanz Gericht 8: Menü 8</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DF1-46A9-A734-08A23A7E8D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DF1-46A9-A734-08A23A7E8D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DF1-46A9-A734-08A23A7E8D6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DF1-46A9-A734-08A23A7E8D6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DF1-46A9-A734-08A23A7E8D6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DF1-46A9-A734-08A23A7E8D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Ernährung!$D$281:$D$286</c:f>
              <c:numCache>
                <c:formatCode>General</c:formatCode>
                <c:ptCount val="6"/>
              </c:numCache>
            </c:numRef>
          </c:cat>
          <c:val>
            <c:numRef>
              <c:f>Ernährung!$H$281:$H$286</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DDF1-46A9-A734-08A23A7E8D6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Ernährung!$B$290</c:f>
          <c:strCache>
            <c:ptCount val="1"/>
            <c:pt idx="0">
              <c:v>CO₂-Bilanz Gericht 9: Menü 9</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CE4-4065-8E5E-4D44A134DA5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CE4-4065-8E5E-4D44A134DA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CE4-4065-8E5E-4D44A134DA5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CE4-4065-8E5E-4D44A134DA5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CE4-4065-8E5E-4D44A134DA5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CE4-4065-8E5E-4D44A134DA5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Ernährung!$D$294:$D$299</c:f>
              <c:numCache>
                <c:formatCode>General</c:formatCode>
                <c:ptCount val="6"/>
              </c:numCache>
            </c:numRef>
          </c:cat>
          <c:val>
            <c:numRef>
              <c:f>Ernährung!$H$294:$H$299</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2CE4-4065-8E5E-4D44A134DA54}"/>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Ernährung!$B$303</c:f>
          <c:strCache>
            <c:ptCount val="1"/>
            <c:pt idx="0">
              <c:v>CO₂-Bilanz Gericht 10: Menü 10</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E3C-4001-891E-AC4B92FDFFE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3C-4001-891E-AC4B92FDFFE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E3C-4001-891E-AC4B92FDFFE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E3C-4001-891E-AC4B92FDFFE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E3C-4001-891E-AC4B92FDFFE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E3C-4001-891E-AC4B92FDFF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Ernährung!$D$307:$D$312</c:f>
              <c:numCache>
                <c:formatCode>General</c:formatCode>
                <c:ptCount val="6"/>
              </c:numCache>
            </c:numRef>
          </c:cat>
          <c:val>
            <c:numRef>
              <c:f>Ernährung!$H$307:$H$312</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E3C-4001-891E-AC4B92FDFFEE}"/>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Ernährung!$B$316</c:f>
          <c:strCache>
            <c:ptCount val="1"/>
            <c:pt idx="0">
              <c:v>CO₂-Bilanz Gericht 11: Menü 11</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6C-4863-8314-031AC6620C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46C-4863-8314-031AC6620C1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46C-4863-8314-031AC6620C1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46C-4863-8314-031AC6620C1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46C-4863-8314-031AC6620C1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46C-4863-8314-031AC6620C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Ernährung!$D$320:$D$325</c:f>
              <c:numCache>
                <c:formatCode>General</c:formatCode>
                <c:ptCount val="6"/>
              </c:numCache>
            </c:numRef>
          </c:cat>
          <c:val>
            <c:numRef>
              <c:f>Ernährung!$H$320:$H$325</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546C-4863-8314-031AC6620C1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Ernährung!$B$329</c:f>
          <c:strCache>
            <c:ptCount val="1"/>
            <c:pt idx="0">
              <c:v>CO₂-Bilanz Gericht 12: Menü 12</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F39-4C1B-B285-905FDE3173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39-4C1B-B285-905FDE3173E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F39-4C1B-B285-905FDE3173E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F39-4C1B-B285-905FDE3173E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F39-4C1B-B285-905FDE3173E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F39-4C1B-B285-905FDE3173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Ernährung!$D$333:$D$338</c:f>
              <c:numCache>
                <c:formatCode>General</c:formatCode>
                <c:ptCount val="6"/>
              </c:numCache>
            </c:numRef>
          </c:cat>
          <c:val>
            <c:numRef>
              <c:f>Ernährung!$H$333:$H$338</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DF39-4C1B-B285-905FDE3173E5}"/>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Ernährung!$B$342</c:f>
          <c:strCache>
            <c:ptCount val="1"/>
            <c:pt idx="0">
              <c:v>CO₂-Bilanz Gericht 13: Menü 13</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2A-498A-B775-30622ECB7F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2A-498A-B775-30622ECB7F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2A-498A-B775-30622ECB7F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2A-498A-B775-30622ECB7F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2A-498A-B775-30622ECB7F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22A-498A-B775-30622ECB7F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Ernährung!$D$346:$D$351</c:f>
              <c:numCache>
                <c:formatCode>General</c:formatCode>
                <c:ptCount val="6"/>
              </c:numCache>
            </c:numRef>
          </c:cat>
          <c:val>
            <c:numRef>
              <c:f>Ernährung!$H$346:$H$351</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122A-498A-B775-30622ECB7F8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Ernährung!$B$394</c:f>
          <c:strCache>
            <c:ptCount val="1"/>
            <c:pt idx="0">
              <c:v>CO₂-Bilanz Gericht 17: Menü 17</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D0-488B-A949-8679E0B0F9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D0-488B-A949-8679E0B0F9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D0-488B-A949-8679E0B0F9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D0-488B-A949-8679E0B0F90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D0-488B-A949-8679E0B0F90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D0-488B-A949-8679E0B0F9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Ernährung!$D$398:$D$403</c:f>
              <c:numCache>
                <c:formatCode>General</c:formatCode>
                <c:ptCount val="6"/>
              </c:numCache>
            </c:numRef>
          </c:cat>
          <c:val>
            <c:numRef>
              <c:f>Ernährung!$H$398:$H$403</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95D0-488B-A949-8679E0B0F90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Ernährung!$B$355</c:f>
          <c:strCache>
            <c:ptCount val="1"/>
            <c:pt idx="0">
              <c:v>CO₂-Bilanz Gericht 14: Menü 14</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2A-498A-B775-30622ECB7F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2A-498A-B775-30622ECB7F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2A-498A-B775-30622ECB7F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2A-498A-B775-30622ECB7F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2A-498A-B775-30622ECB7F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22A-498A-B775-30622ECB7F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Ernährung!$D$359:$D$364</c:f>
              <c:numCache>
                <c:formatCode>General</c:formatCode>
                <c:ptCount val="6"/>
              </c:numCache>
            </c:numRef>
          </c:cat>
          <c:val>
            <c:numRef>
              <c:f>Ernährung!$H$359:$H$364</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122A-498A-B775-30622ECB7F8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Ernährung!$B$368</c:f>
          <c:strCache>
            <c:ptCount val="1"/>
            <c:pt idx="0">
              <c:v>CO₂-Bilanz Gericht 15: Menü 15</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2A-498A-B775-30622ECB7F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2A-498A-B775-30622ECB7F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2A-498A-B775-30622ECB7F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2A-498A-B775-30622ECB7F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2A-498A-B775-30622ECB7F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22A-498A-B775-30622ECB7F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Ernährung!$D$372:$D$377</c:f>
              <c:numCache>
                <c:formatCode>General</c:formatCode>
                <c:ptCount val="6"/>
              </c:numCache>
            </c:numRef>
          </c:cat>
          <c:val>
            <c:numRef>
              <c:f>Ernährung!$H$372:$H$377</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122A-498A-B775-30622ECB7F8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Ernährung!$B$407</c:f>
          <c:strCache>
            <c:ptCount val="1"/>
            <c:pt idx="0">
              <c:v>CO₂-Bilanz Gericht 18: Menü 18</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D0-488B-A949-8679E0B0F9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D0-488B-A949-8679E0B0F9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D0-488B-A949-8679E0B0F9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D0-488B-A949-8679E0B0F90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D0-488B-A949-8679E0B0F90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D0-488B-A949-8679E0B0F9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Ernährung!$H$411:$H$416</c:f>
              <c:numCache>
                <c:formatCode>#,##0\ "gCO₂"</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Ernährung!$D$411:$D$416</c15:sqref>
                        </c15:formulaRef>
                      </c:ext>
                    </c:extLst>
                  </c:multiLvlStrRef>
                </c15:cat>
              </c15:filteredCategoryTitle>
            </c:ext>
            <c:ext xmlns:c16="http://schemas.microsoft.com/office/drawing/2014/chart" uri="{C3380CC4-5D6E-409C-BE32-E72D297353CC}">
              <c16:uniqueId val="{0000000C-95D0-488B-A949-8679E0B0F90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Solarproduktion und Stromverbrauch pro Monat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PV!$C$84</c:f>
              <c:strCache>
                <c:ptCount val="1"/>
                <c:pt idx="0">
                  <c:v>Solarproduktion</c:v>
                </c:pt>
              </c:strCache>
            </c:strRef>
          </c:tx>
          <c:spPr>
            <a:ln w="19050" cap="rnd">
              <a:solidFill>
                <a:srgbClr val="FFC001"/>
              </a:solidFill>
              <a:round/>
            </a:ln>
            <a:effectLst/>
          </c:spPr>
          <c:marker>
            <c:symbol val="circle"/>
            <c:size val="5"/>
            <c:spPr>
              <a:solidFill>
                <a:srgbClr val="FFC001"/>
              </a:solidFill>
              <a:ln w="9525">
                <a:solidFill>
                  <a:srgbClr val="FFC001"/>
                </a:solidFill>
              </a:ln>
              <a:effectLst/>
            </c:spPr>
          </c:marker>
          <c:xVal>
            <c:strRef>
              <c:f>PV!$B$85:$B$96</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xVal>
          <c:yVal>
            <c:numRef>
              <c:f>PV!$C$85:$C$96</c:f>
              <c:numCache>
                <c:formatCode>#,##0\ "kWh"</c:formatCode>
                <c:ptCount val="12"/>
                <c:pt idx="0">
                  <c:v>3280.7573303752069</c:v>
                </c:pt>
                <c:pt idx="1">
                  <c:v>4989.0670569047052</c:v>
                </c:pt>
                <c:pt idx="2">
                  <c:v>7490.7797062674126</c:v>
                </c:pt>
                <c:pt idx="3">
                  <c:v>9417.4348825617944</c:v>
                </c:pt>
                <c:pt idx="4">
                  <c:v>10814.602429933993</c:v>
                </c:pt>
                <c:pt idx="5">
                  <c:v>10798.852953937696</c:v>
                </c:pt>
                <c:pt idx="6">
                  <c:v>11540.96386100237</c:v>
                </c:pt>
                <c:pt idx="7">
                  <c:v>11021.083732005047</c:v>
                </c:pt>
                <c:pt idx="8">
                  <c:v>8655.1270901495409</c:v>
                </c:pt>
                <c:pt idx="9">
                  <c:v>5931.9695931821907</c:v>
                </c:pt>
                <c:pt idx="10">
                  <c:v>3916.0180133511767</c:v>
                </c:pt>
                <c:pt idx="11">
                  <c:v>2718.9772239465638</c:v>
                </c:pt>
              </c:numCache>
            </c:numRef>
          </c:yVal>
          <c:smooth val="0"/>
          <c:extLst>
            <c:ext xmlns:c16="http://schemas.microsoft.com/office/drawing/2014/chart" uri="{C3380CC4-5D6E-409C-BE32-E72D297353CC}">
              <c16:uniqueId val="{00000000-BDC7-44C2-A940-26AB000B1DB1}"/>
            </c:ext>
          </c:extLst>
        </c:ser>
        <c:ser>
          <c:idx val="1"/>
          <c:order val="1"/>
          <c:tx>
            <c:strRef>
              <c:f>PV!$D$84</c:f>
              <c:strCache>
                <c:ptCount val="1"/>
                <c:pt idx="0">
                  <c:v>Verbrauch</c:v>
                </c:pt>
              </c:strCache>
            </c:strRef>
          </c:tx>
          <c:spPr>
            <a:ln w="19050" cap="rnd">
              <a:solidFill>
                <a:srgbClr val="005989"/>
              </a:solidFill>
              <a:round/>
            </a:ln>
            <a:effectLst/>
          </c:spPr>
          <c:marker>
            <c:symbol val="circle"/>
            <c:size val="5"/>
            <c:spPr>
              <a:solidFill>
                <a:srgbClr val="005989"/>
              </a:solidFill>
              <a:ln w="9525">
                <a:solidFill>
                  <a:srgbClr val="005989"/>
                </a:solidFill>
              </a:ln>
              <a:effectLst/>
            </c:spPr>
          </c:marker>
          <c:xVal>
            <c:strRef>
              <c:f>PV!$B$85:$B$96</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xVal>
          <c:yVal>
            <c:numRef>
              <c:f>PV!$D$85:$D$96</c:f>
              <c:numCache>
                <c:formatCode>#,##0\ "kWh"</c:formatCode>
                <c:ptCount val="12"/>
                <c:pt idx="0">
                  <c:v>9393.9060599999975</c:v>
                </c:pt>
                <c:pt idx="1">
                  <c:v>8662.9133699999984</c:v>
                </c:pt>
                <c:pt idx="2">
                  <c:v>9010.909889999999</c:v>
                </c:pt>
                <c:pt idx="3">
                  <c:v>8326.916729999999</c:v>
                </c:pt>
                <c:pt idx="4">
                  <c:v>7961.9203799999996</c:v>
                </c:pt>
                <c:pt idx="5">
                  <c:v>7464.9253499999995</c:v>
                </c:pt>
                <c:pt idx="6">
                  <c:v>7757.9224199999981</c:v>
                </c:pt>
                <c:pt idx="7">
                  <c:v>7551.9244799999979</c:v>
                </c:pt>
                <c:pt idx="8">
                  <c:v>7566.9243299999989</c:v>
                </c:pt>
                <c:pt idx="9">
                  <c:v>8550.9144899999992</c:v>
                </c:pt>
                <c:pt idx="10">
                  <c:v>8564.9143499999991</c:v>
                </c:pt>
                <c:pt idx="11">
                  <c:v>9184.9081499999993</c:v>
                </c:pt>
              </c:numCache>
            </c:numRef>
          </c:yVal>
          <c:smooth val="0"/>
          <c:extLst>
            <c:ext xmlns:c16="http://schemas.microsoft.com/office/drawing/2014/chart" uri="{C3380CC4-5D6E-409C-BE32-E72D297353CC}">
              <c16:uniqueId val="{00000001-BDC7-44C2-A940-26AB000B1DB1}"/>
            </c:ext>
          </c:extLst>
        </c:ser>
        <c:dLbls>
          <c:showLegendKey val="0"/>
          <c:showVal val="0"/>
          <c:showCatName val="0"/>
          <c:showSerName val="0"/>
          <c:showPercent val="0"/>
          <c:showBubbleSize val="0"/>
        </c:dLbls>
        <c:axId val="2033724896"/>
        <c:axId val="2033725312"/>
      </c:scatterChart>
      <c:valAx>
        <c:axId val="2033724896"/>
        <c:scaling>
          <c:orientation val="minMax"/>
          <c:max val="12"/>
          <c:min val="1"/>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33725312"/>
        <c:crosses val="autoZero"/>
        <c:crossBetween val="midCat"/>
        <c:majorUnit val="1"/>
      </c:valAx>
      <c:valAx>
        <c:axId val="203372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Verbrauch/Produktion</a:t>
                </a:r>
                <a:r>
                  <a:rPr lang="de-DE" baseline="0"/>
                  <a:t> in kWh</a:t>
                </a:r>
                <a:endParaRPr lang="de-D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quot;kWh&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337248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Ernährung!$B$420</c:f>
          <c:strCache>
            <c:ptCount val="1"/>
            <c:pt idx="0">
              <c:v>CO₂-Bilanz Gericht 19: Menü 19</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D0-488B-A949-8679E0B0F9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D0-488B-A949-8679E0B0F9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D0-488B-A949-8679E0B0F9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D0-488B-A949-8679E0B0F90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D0-488B-A949-8679E0B0F90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D0-488B-A949-8679E0B0F9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Ernährung!$D$424:$D$429</c:f>
              <c:numCache>
                <c:formatCode>General</c:formatCode>
                <c:ptCount val="6"/>
              </c:numCache>
            </c:numRef>
          </c:cat>
          <c:val>
            <c:numRef>
              <c:f>Ernährung!$H$424:$H$429</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95D0-488B-A949-8679E0B0F90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Ernährung!$B$433</c:f>
          <c:strCache>
            <c:ptCount val="1"/>
            <c:pt idx="0">
              <c:v>CO₂-Bilanz Gericht 20: Menü 20</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D0-488B-A949-8679E0B0F9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D0-488B-A949-8679E0B0F9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D0-488B-A949-8679E0B0F9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D0-488B-A949-8679E0B0F90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D0-488B-A949-8679E0B0F90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D0-488B-A949-8679E0B0F9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Ernährung!$D$437:$D$442</c:f>
              <c:numCache>
                <c:formatCode>General</c:formatCode>
                <c:ptCount val="6"/>
              </c:numCache>
            </c:numRef>
          </c:cat>
          <c:val>
            <c:numRef>
              <c:f>Ernährung!$H$437:$H$442</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95D0-488B-A949-8679E0B0F90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Ernährung!$B$381</c:f>
          <c:strCache>
            <c:ptCount val="1"/>
            <c:pt idx="0">
              <c:v>CO₂-Bilanz Gericht 16: Menü 16</c:v>
            </c:pt>
          </c:strCache>
        </c:strRef>
      </c:tx>
      <c:layout>
        <c:manualLayout>
          <c:xMode val="edge"/>
          <c:yMode val="edge"/>
          <c:x val="0.26085922437323295"/>
          <c:y val="3.06637988100675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F76-4AF3-A176-07147EB775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F76-4AF3-A176-07147EB775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F76-4AF3-A176-07147EB775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F76-4AF3-A176-07147EB775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F76-4AF3-A176-07147EB775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F76-4AF3-A176-07147EB775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Ernährung!$D$385:$D$390</c:f>
              <c:numCache>
                <c:formatCode>General</c:formatCode>
                <c:ptCount val="6"/>
              </c:numCache>
            </c:numRef>
          </c:cat>
          <c:val>
            <c:numRef>
              <c:f>Ernährung!$H$385:$H$390</c:f>
              <c:numCache>
                <c:formatCode>#,##0\ "gCO₂"</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2F76-4AF3-A176-07147EB7751C}"/>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8541865941194482"/>
          <c:y val="0.16824196325442706"/>
          <c:w val="0.39737486011266854"/>
          <c:h val="0.78266732641650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0" i="0" baseline="0">
                <a:effectLst/>
              </a:rPr>
              <a:t>Treibhausgasemissionen der einzelnen Gerichte</a:t>
            </a:r>
            <a:endParaRPr lang="en-DE">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Ernährung!$C$117:$C$136</c:f>
              <c:strCache>
                <c:ptCount val="20"/>
                <c:pt idx="0">
                  <c:v>Hamburger</c:v>
                </c:pt>
                <c:pt idx="1">
                  <c:v>Menü 2 Pfannenkuchen</c:v>
                </c:pt>
                <c:pt idx="2">
                  <c:v>Chili sin Carne</c:v>
                </c:pt>
                <c:pt idx="3">
                  <c:v>Menü 4</c:v>
                </c:pt>
                <c:pt idx="4">
                  <c:v>Menü 5</c:v>
                </c:pt>
                <c:pt idx="5">
                  <c:v>Menü 6</c:v>
                </c:pt>
                <c:pt idx="6">
                  <c:v>Menü 7</c:v>
                </c:pt>
                <c:pt idx="7">
                  <c:v>Menü 8</c:v>
                </c:pt>
                <c:pt idx="8">
                  <c:v>Menü 9</c:v>
                </c:pt>
                <c:pt idx="9">
                  <c:v>Menü 10</c:v>
                </c:pt>
                <c:pt idx="10">
                  <c:v>Menü 11</c:v>
                </c:pt>
                <c:pt idx="11">
                  <c:v>Menü 12</c:v>
                </c:pt>
                <c:pt idx="12">
                  <c:v>Menü 13</c:v>
                </c:pt>
                <c:pt idx="13">
                  <c:v>Menü 14</c:v>
                </c:pt>
                <c:pt idx="14">
                  <c:v>Menü 15</c:v>
                </c:pt>
                <c:pt idx="15">
                  <c:v>Menü 16</c:v>
                </c:pt>
                <c:pt idx="16">
                  <c:v>Menü 17</c:v>
                </c:pt>
                <c:pt idx="17">
                  <c:v>Menü 18</c:v>
                </c:pt>
                <c:pt idx="18">
                  <c:v>Menü 19</c:v>
                </c:pt>
                <c:pt idx="19">
                  <c:v>Menü 20</c:v>
                </c:pt>
              </c:strCache>
            </c:strRef>
          </c:cat>
          <c:val>
            <c:numRef>
              <c:f>Ernährung!$E$117:$E$136</c:f>
              <c:numCache>
                <c:formatCode>#,##0\ "g";\-#,##0\ "g";""</c:formatCode>
                <c:ptCount val="20"/>
                <c:pt idx="0">
                  <c:v>1822.6</c:v>
                </c:pt>
                <c:pt idx="1">
                  <c:v>430</c:v>
                </c:pt>
                <c:pt idx="2">
                  <c:v>779.5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D122-44FF-885C-05F2F24C162F}"/>
            </c:ext>
          </c:extLst>
        </c:ser>
        <c:dLbls>
          <c:showLegendKey val="0"/>
          <c:showVal val="0"/>
          <c:showCatName val="0"/>
          <c:showSerName val="0"/>
          <c:showPercent val="0"/>
          <c:showBubbleSize val="0"/>
        </c:dLbls>
        <c:gapWidth val="219"/>
        <c:overlap val="-27"/>
        <c:axId val="54959168"/>
        <c:axId val="54958336"/>
      </c:barChart>
      <c:catAx>
        <c:axId val="5495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958336"/>
        <c:crosses val="autoZero"/>
        <c:auto val="1"/>
        <c:lblAlgn val="ctr"/>
        <c:lblOffset val="100"/>
        <c:noMultiLvlLbl val="0"/>
      </c:catAx>
      <c:valAx>
        <c:axId val="54958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de-DE" sz="1200" b="0" i="0" baseline="0">
                    <a:effectLst/>
                  </a:rPr>
                  <a:t>CO</a:t>
                </a:r>
                <a:r>
                  <a:rPr lang="de-DE" sz="1200" b="0" i="0" baseline="-25000">
                    <a:effectLst/>
                  </a:rPr>
                  <a:t>2äq</a:t>
                </a:r>
                <a:r>
                  <a:rPr lang="de-DE" sz="1200" b="0" i="0" baseline="0">
                    <a:effectLst/>
                  </a:rPr>
                  <a:t>-Emissionen pro Portion</a:t>
                </a:r>
                <a:endParaRPr lang="en-DE" sz="1200">
                  <a:effectLst/>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0\ &quot;g&quot;;\-#,##0\ &quot;g&quot;;&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9591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DE" sz="1200"/>
              <a:t>CO</a:t>
            </a:r>
            <a:r>
              <a:rPr lang="de-DE" sz="1200" baseline="-25000"/>
              <a:t>2</a:t>
            </a:r>
            <a:r>
              <a:rPr lang="de-DE" sz="1200"/>
              <a:t>-Emissionen</a:t>
            </a:r>
            <a:r>
              <a:rPr lang="de-DE" sz="1200" baseline="0"/>
              <a:t> Papierverbrauch</a:t>
            </a:r>
            <a:endParaRPr lang="de-DE" sz="1200"/>
          </a:p>
        </c:rich>
      </c:tx>
      <c:layout>
        <c:manualLayout>
          <c:xMode val="edge"/>
          <c:yMode val="edge"/>
          <c:x val="0.29011740857139351"/>
          <c:y val="5.198392649975674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1157525361082581E-2"/>
          <c:y val="0.33639188911108414"/>
          <c:w val="0.43925854015078952"/>
          <c:h val="0.594734617375668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82-4E1C-8171-7841A0D23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82-4E1C-8171-7841A0D23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82-4E1C-8171-7841A0D23B4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682-4E1C-8171-7841A0D23B4D}"/>
              </c:ext>
            </c:extLst>
          </c:dPt>
          <c:cat>
            <c:strRef>
              <c:f>Beschaffung_1!$B$9:$B$12</c:f>
              <c:strCache>
                <c:ptCount val="4"/>
                <c:pt idx="0">
                  <c:v>Kopierpapier (A4):</c:v>
                </c:pt>
                <c:pt idx="1">
                  <c:v>Papierhandtücher:</c:v>
                </c:pt>
                <c:pt idx="2">
                  <c:v>Toilettenpapier:</c:v>
                </c:pt>
                <c:pt idx="3">
                  <c:v>Sonstiges:</c:v>
                </c:pt>
              </c:strCache>
            </c:strRef>
          </c:cat>
          <c:val>
            <c:numRef>
              <c:f>Beschaffung_1!$G$9:$G$12</c:f>
              <c:numCache>
                <c:formatCode>#,##0\ "kg CO₂"</c:formatCode>
                <c:ptCount val="4"/>
                <c:pt idx="0">
                  <c:v>8113.5450000000001</c:v>
                </c:pt>
                <c:pt idx="1">
                  <c:v>0</c:v>
                </c:pt>
                <c:pt idx="2">
                  <c:v>0</c:v>
                </c:pt>
                <c:pt idx="3">
                  <c:v>0</c:v>
                </c:pt>
              </c:numCache>
            </c:numRef>
          </c:val>
          <c:extLst>
            <c:ext xmlns:c16="http://schemas.microsoft.com/office/drawing/2014/chart" uri="{C3380CC4-5D6E-409C-BE32-E72D297353CC}">
              <c16:uniqueId val="{00000008-B682-4E1C-8171-7841A0D23B4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46675431516014593"/>
          <c:y val="0.47694521630926978"/>
          <c:w val="0.5120665657954504"/>
          <c:h val="0.37414280412755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Verteilung der Emissionen</a:t>
            </a:r>
          </a:p>
        </c:rich>
      </c:tx>
      <c:layout>
        <c:manualLayout>
          <c:xMode val="edge"/>
          <c:yMode val="edge"/>
          <c:x val="0.28226504836066768"/>
          <c:y val="3.26797525773903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6.2963175388716361E-2"/>
          <c:y val="0.23508106381991845"/>
          <c:w val="0.41130936074068181"/>
          <c:h val="0.71160548969522697"/>
        </c:manualLayout>
      </c:layout>
      <c:pieChart>
        <c:varyColors val="1"/>
        <c:ser>
          <c:idx val="0"/>
          <c:order val="0"/>
          <c:explosion val="1"/>
          <c:dPt>
            <c:idx val="0"/>
            <c:bubble3D val="0"/>
            <c:spPr>
              <a:solidFill>
                <a:srgbClr val="F18800"/>
              </a:solidFill>
              <a:ln w="19050">
                <a:solidFill>
                  <a:schemeClr val="lt1"/>
                </a:solidFill>
              </a:ln>
              <a:effectLst/>
            </c:spPr>
            <c:extLst>
              <c:ext xmlns:c16="http://schemas.microsoft.com/office/drawing/2014/chart" uri="{C3380CC4-5D6E-409C-BE32-E72D297353CC}">
                <c16:uniqueId val="{00000001-6F61-4AD0-9238-B64C97840806}"/>
              </c:ext>
            </c:extLst>
          </c:dPt>
          <c:dPt>
            <c:idx val="1"/>
            <c:bubble3D val="0"/>
            <c:spPr>
              <a:solidFill>
                <a:srgbClr val="005989"/>
              </a:solidFill>
              <a:ln w="19050">
                <a:solidFill>
                  <a:schemeClr val="lt1"/>
                </a:solidFill>
              </a:ln>
              <a:effectLst/>
            </c:spPr>
            <c:extLst>
              <c:ext xmlns:c16="http://schemas.microsoft.com/office/drawing/2014/chart" uri="{C3380CC4-5D6E-409C-BE32-E72D297353CC}">
                <c16:uniqueId val="{00000003-6F61-4AD0-9238-B64C97840806}"/>
              </c:ext>
            </c:extLst>
          </c:dPt>
          <c:dPt>
            <c:idx val="2"/>
            <c:bubble3D val="0"/>
            <c:spPr>
              <a:solidFill>
                <a:srgbClr val="87BD25"/>
              </a:solidFill>
              <a:ln w="19050">
                <a:solidFill>
                  <a:schemeClr val="lt1"/>
                </a:solidFill>
              </a:ln>
              <a:effectLst/>
            </c:spPr>
            <c:extLst>
              <c:ext xmlns:c16="http://schemas.microsoft.com/office/drawing/2014/chart" uri="{C3380CC4-5D6E-409C-BE32-E72D297353CC}">
                <c16:uniqueId val="{00000005-6F61-4AD0-9238-B64C97840806}"/>
              </c:ext>
            </c:extLst>
          </c:dPt>
          <c:dPt>
            <c:idx val="3"/>
            <c:bubble3D val="0"/>
            <c:spPr>
              <a:solidFill>
                <a:srgbClr val="E94B4D"/>
              </a:solidFill>
              <a:ln w="19050">
                <a:solidFill>
                  <a:schemeClr val="lt1"/>
                </a:solidFill>
              </a:ln>
              <a:effectLst/>
            </c:spPr>
            <c:extLst>
              <c:ext xmlns:c16="http://schemas.microsoft.com/office/drawing/2014/chart" uri="{C3380CC4-5D6E-409C-BE32-E72D297353CC}">
                <c16:uniqueId val="{00000007-A49A-405B-AD07-04D50984C1D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Ergebnis!$N$10:$N$13</c:f>
              <c:strCache>
                <c:ptCount val="4"/>
                <c:pt idx="0">
                  <c:v>Energie</c:v>
                </c:pt>
                <c:pt idx="1">
                  <c:v>Mobilität</c:v>
                </c:pt>
                <c:pt idx="2">
                  <c:v>Ernährung</c:v>
                </c:pt>
                <c:pt idx="3">
                  <c:v>Beschaffung</c:v>
                </c:pt>
              </c:strCache>
            </c:strRef>
          </c:cat>
          <c:val>
            <c:numRef>
              <c:f>Ergebnis!$O$10:$O$13</c:f>
              <c:numCache>
                <c:formatCode>0</c:formatCode>
                <c:ptCount val="4"/>
                <c:pt idx="0">
                  <c:v>18244.252531595575</c:v>
                </c:pt>
                <c:pt idx="1">
                  <c:v>78835.222500000003</c:v>
                </c:pt>
                <c:pt idx="2">
                  <c:v>20267.490000000002</c:v>
                </c:pt>
                <c:pt idx="3">
                  <c:v>15823.704900000001</c:v>
                </c:pt>
              </c:numCache>
            </c:numRef>
          </c:val>
          <c:extLst>
            <c:ext xmlns:c16="http://schemas.microsoft.com/office/drawing/2014/chart" uri="{C3380CC4-5D6E-409C-BE32-E72D297353CC}">
              <c16:uniqueId val="{00000000-B60A-4343-A464-E674A7BF77F0}"/>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9341100832739299"/>
          <c:y val="0.26360302977016209"/>
          <c:w val="0.48414244785478816"/>
          <c:h val="0.5963881643968559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Ergebnis!$D$90</c:f>
          <c:strCache>
            <c:ptCount val="1"/>
            <c:pt idx="0">
              <c:v>Verteilung CO₂-Emissionen für Schule</c:v>
            </c:pt>
          </c:strCache>
        </c:strRef>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de-DE"/>
        </a:p>
      </c:txPr>
    </c:title>
    <c:autoTitleDeleted val="0"/>
    <c:plotArea>
      <c:layout/>
      <c:pieChart>
        <c:varyColors val="1"/>
        <c:ser>
          <c:idx val="0"/>
          <c:order val="0"/>
          <c:dPt>
            <c:idx val="0"/>
            <c:bubble3D val="0"/>
            <c:spPr>
              <a:solidFill>
                <a:srgbClr val="F18800"/>
              </a:solidFill>
              <a:ln w="19050">
                <a:solidFill>
                  <a:schemeClr val="lt1"/>
                </a:solidFill>
              </a:ln>
              <a:effectLst/>
            </c:spPr>
            <c:extLst>
              <c:ext xmlns:c16="http://schemas.microsoft.com/office/drawing/2014/chart" uri="{C3380CC4-5D6E-409C-BE32-E72D297353CC}">
                <c16:uniqueId val="{00000001-7A65-4550-BF91-F821456D4FC8}"/>
              </c:ext>
            </c:extLst>
          </c:dPt>
          <c:dPt>
            <c:idx val="1"/>
            <c:bubble3D val="0"/>
            <c:spPr>
              <a:pattFill prst="dkUpDiag">
                <a:fgClr>
                  <a:srgbClr val="F18800"/>
                </a:fgClr>
                <a:bgClr>
                  <a:schemeClr val="bg1"/>
                </a:bgClr>
              </a:pattFill>
              <a:ln w="19050">
                <a:solidFill>
                  <a:schemeClr val="lt1"/>
                </a:solidFill>
              </a:ln>
              <a:effectLst/>
            </c:spPr>
            <c:extLst>
              <c:ext xmlns:c16="http://schemas.microsoft.com/office/drawing/2014/chart" uri="{C3380CC4-5D6E-409C-BE32-E72D297353CC}">
                <c16:uniqueId val="{00000002-7A65-4550-BF91-F821456D4FC8}"/>
              </c:ext>
            </c:extLst>
          </c:dPt>
          <c:dPt>
            <c:idx val="2"/>
            <c:bubble3D val="0"/>
            <c:spPr>
              <a:solidFill>
                <a:srgbClr val="005989"/>
              </a:solidFill>
              <a:ln w="19050">
                <a:solidFill>
                  <a:schemeClr val="lt1"/>
                </a:solidFill>
              </a:ln>
              <a:effectLst/>
            </c:spPr>
            <c:extLst>
              <c:ext xmlns:c16="http://schemas.microsoft.com/office/drawing/2014/chart" uri="{C3380CC4-5D6E-409C-BE32-E72D297353CC}">
                <c16:uniqueId val="{00000003-7A65-4550-BF91-F821456D4FC8}"/>
              </c:ext>
            </c:extLst>
          </c:dPt>
          <c:dPt>
            <c:idx val="3"/>
            <c:bubble3D val="0"/>
            <c:spPr>
              <a:pattFill prst="dkUpDiag">
                <a:fgClr>
                  <a:srgbClr val="005989"/>
                </a:fgClr>
                <a:bgClr>
                  <a:schemeClr val="bg1"/>
                </a:bgClr>
              </a:pattFill>
              <a:ln w="19050">
                <a:solidFill>
                  <a:schemeClr val="lt1"/>
                </a:solidFill>
              </a:ln>
              <a:effectLst/>
            </c:spPr>
            <c:extLst>
              <c:ext xmlns:c16="http://schemas.microsoft.com/office/drawing/2014/chart" uri="{C3380CC4-5D6E-409C-BE32-E72D297353CC}">
                <c16:uniqueId val="{00000004-7A65-4550-BF91-F821456D4FC8}"/>
              </c:ext>
            </c:extLst>
          </c:dPt>
          <c:dPt>
            <c:idx val="4"/>
            <c:bubble3D val="0"/>
            <c:spPr>
              <a:solidFill>
                <a:srgbClr val="00A1FA"/>
              </a:solidFill>
              <a:ln w="19050">
                <a:solidFill>
                  <a:schemeClr val="lt1"/>
                </a:solidFill>
              </a:ln>
              <a:effectLst/>
            </c:spPr>
            <c:extLst>
              <c:ext xmlns:c16="http://schemas.microsoft.com/office/drawing/2014/chart" uri="{C3380CC4-5D6E-409C-BE32-E72D297353CC}">
                <c16:uniqueId val="{00000005-7A65-4550-BF91-F821456D4FC8}"/>
              </c:ext>
            </c:extLst>
          </c:dPt>
          <c:dPt>
            <c:idx val="5"/>
            <c:bubble3D val="0"/>
            <c:spPr>
              <a:pattFill prst="dkUpDiag">
                <a:fgClr>
                  <a:srgbClr val="00A1FA"/>
                </a:fgClr>
                <a:bgClr>
                  <a:schemeClr val="bg1"/>
                </a:bgClr>
              </a:pattFill>
              <a:ln w="19050">
                <a:solidFill>
                  <a:schemeClr val="lt1"/>
                </a:solidFill>
              </a:ln>
              <a:effectLst/>
            </c:spPr>
            <c:extLst>
              <c:ext xmlns:c16="http://schemas.microsoft.com/office/drawing/2014/chart" uri="{C3380CC4-5D6E-409C-BE32-E72D297353CC}">
                <c16:uniqueId val="{00000006-7A65-4550-BF91-F821456D4FC8}"/>
              </c:ext>
            </c:extLst>
          </c:dPt>
          <c:dPt>
            <c:idx val="6"/>
            <c:bubble3D val="0"/>
            <c:spPr>
              <a:solidFill>
                <a:srgbClr val="87BD25"/>
              </a:solidFill>
              <a:ln w="19050">
                <a:solidFill>
                  <a:schemeClr val="lt1"/>
                </a:solidFill>
              </a:ln>
              <a:effectLst/>
            </c:spPr>
            <c:extLst>
              <c:ext xmlns:c16="http://schemas.microsoft.com/office/drawing/2014/chart" uri="{C3380CC4-5D6E-409C-BE32-E72D297353CC}">
                <c16:uniqueId val="{00000007-7A65-4550-BF91-F821456D4FC8}"/>
              </c:ext>
            </c:extLst>
          </c:dPt>
          <c:dPt>
            <c:idx val="7"/>
            <c:bubble3D val="0"/>
            <c:spPr>
              <a:solidFill>
                <a:srgbClr val="E94B4D"/>
              </a:solidFill>
              <a:ln w="19050">
                <a:solidFill>
                  <a:schemeClr val="lt1"/>
                </a:solidFill>
              </a:ln>
              <a:effectLst/>
            </c:spPr>
            <c:extLst>
              <c:ext xmlns:c16="http://schemas.microsoft.com/office/drawing/2014/chart" uri="{C3380CC4-5D6E-409C-BE32-E72D297353CC}">
                <c16:uniqueId val="{00000008-7A65-4550-BF91-F821456D4FC8}"/>
              </c:ext>
            </c:extLst>
          </c:dPt>
          <c:dLbls>
            <c:dLbl>
              <c:idx val="2"/>
              <c:spPr>
                <a:solidFill>
                  <a:schemeClr val="bg1">
                    <a:alpha val="3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0"/>
              <c:showCatName val="1"/>
              <c:showSerName val="0"/>
              <c:showPercent val="1"/>
              <c:showBubbleSize val="0"/>
              <c:extLst>
                <c:ext xmlns:c16="http://schemas.microsoft.com/office/drawing/2014/chart" uri="{C3380CC4-5D6E-409C-BE32-E72D297353CC}">
                  <c16:uniqueId val="{00000003-7A65-4550-BF91-F821456D4FC8}"/>
                </c:ext>
              </c:extLst>
            </c:dLbl>
            <c:spPr>
              <a:solidFill>
                <a:schemeClr val="bg1">
                  <a:alpha val="3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dk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Ergebnis!$D$93:$D$100</c:f>
              <c:strCache>
                <c:ptCount val="8"/>
                <c:pt idx="0">
                  <c:v>Wärmebedarf</c:v>
                </c:pt>
                <c:pt idx="1">
                  <c:v>Strom (inkl. PV)</c:v>
                </c:pt>
                <c:pt idx="2">
                  <c:v>Schulweg Schüler:innen</c:v>
                </c:pt>
                <c:pt idx="3">
                  <c:v>Schulweg Lehrer:innen</c:v>
                </c:pt>
                <c:pt idx="4">
                  <c:v>Klassenfahrten</c:v>
                </c:pt>
                <c:pt idx="5">
                  <c:v>Schüleraustausch</c:v>
                </c:pt>
                <c:pt idx="6">
                  <c:v>Schulkantine</c:v>
                </c:pt>
                <c:pt idx="7">
                  <c:v>Beschaffung</c:v>
                </c:pt>
              </c:strCache>
            </c:strRef>
          </c:cat>
          <c:val>
            <c:numRef>
              <c:f>Ergebnis!$E$93:$E$100</c:f>
              <c:numCache>
                <c:formatCode>#,##0\ "kg CO₂/Jahr"</c:formatCode>
                <c:ptCount val="8"/>
                <c:pt idx="0">
                  <c:v>15888.411000000002</c:v>
                </c:pt>
                <c:pt idx="1">
                  <c:v>2355.8415315955754</c:v>
                </c:pt>
                <c:pt idx="2">
                  <c:v>50046.57</c:v>
                </c:pt>
                <c:pt idx="3">
                  <c:v>9406.4024999999983</c:v>
                </c:pt>
                <c:pt idx="4">
                  <c:v>12959.25</c:v>
                </c:pt>
                <c:pt idx="5">
                  <c:v>6423</c:v>
                </c:pt>
                <c:pt idx="6">
                  <c:v>20267.490000000002</c:v>
                </c:pt>
                <c:pt idx="7">
                  <c:v>15823.704900000001</c:v>
                </c:pt>
              </c:numCache>
            </c:numRef>
          </c:val>
          <c:extLst>
            <c:ext xmlns:c16="http://schemas.microsoft.com/office/drawing/2014/chart" uri="{C3380CC4-5D6E-409C-BE32-E72D297353CC}">
              <c16:uniqueId val="{00000000-7A65-4550-BF91-F821456D4FC8}"/>
            </c:ext>
          </c:extLst>
        </c:ser>
        <c:dLbls>
          <c:showLegendKey val="0"/>
          <c:showVal val="1"/>
          <c:showCatName val="1"/>
          <c:showSerName val="0"/>
          <c:showPercent val="0"/>
          <c:showBubbleSize val="0"/>
          <c:showLeaderLines val="1"/>
        </c:dLbls>
        <c:firstSliceAng val="0"/>
      </c:pieChart>
      <c:spPr>
        <a:noFill/>
        <a:ln>
          <a:noFill/>
        </a:ln>
        <a:effectLst/>
      </c:spPr>
    </c:plotArea>
    <c:legend>
      <c:legendPos val="r"/>
      <c:layout>
        <c:manualLayout>
          <c:xMode val="edge"/>
          <c:yMode val="edge"/>
          <c:x val="0.62696509760050489"/>
          <c:y val="0.31855653779473886"/>
          <c:w val="0.3593737002137028"/>
          <c:h val="0.46012591984284174"/>
        </c:manualLayout>
      </c:layout>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dk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Ergebnis!$H$90</c:f>
          <c:strCache>
            <c:ptCount val="1"/>
            <c:pt idx="0">
              <c:v>Ergebnis CO₂-Bilanz für Schule ABC</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1023219205037385E-2"/>
          <c:y val="0.15095645095645097"/>
          <c:w val="0.89417552144824874"/>
          <c:h val="0.70288320814736849"/>
        </c:manualLayout>
      </c:layout>
      <c:barChart>
        <c:barDir val="bar"/>
        <c:grouping val="clustered"/>
        <c:varyColors val="0"/>
        <c:ser>
          <c:idx val="7"/>
          <c:order val="0"/>
          <c:tx>
            <c:strRef>
              <c:f>Ergebnis!$H$101</c:f>
              <c:strCache>
                <c:ptCount val="1"/>
                <c:pt idx="0">
                  <c:v>Beschaffung</c:v>
                </c:pt>
              </c:strCache>
            </c:strRef>
          </c:tx>
          <c:spPr>
            <a:solidFill>
              <a:srgbClr val="E94B4D"/>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Ergebnis!$I$101</c:f>
              <c:numCache>
                <c:formatCode>_-* #,##0_-;\-* #,##0_-;_-* "-"??_-;_-@_-</c:formatCode>
                <c:ptCount val="1"/>
                <c:pt idx="0">
                  <c:v>15823.704900000001</c:v>
                </c:pt>
              </c:numCache>
            </c:numRef>
          </c:val>
          <c:extLst>
            <c:ext xmlns:c16="http://schemas.microsoft.com/office/drawing/2014/chart" uri="{C3380CC4-5D6E-409C-BE32-E72D297353CC}">
              <c16:uniqueId val="{00000007-7A08-4926-8931-063020D92C86}"/>
            </c:ext>
          </c:extLst>
        </c:ser>
        <c:ser>
          <c:idx val="6"/>
          <c:order val="1"/>
          <c:tx>
            <c:strRef>
              <c:f>Ergebnis!$H$100</c:f>
              <c:strCache>
                <c:ptCount val="1"/>
                <c:pt idx="0">
                  <c:v>Schulkantine</c:v>
                </c:pt>
              </c:strCache>
            </c:strRef>
          </c:tx>
          <c:spPr>
            <a:solidFill>
              <a:srgbClr val="87BD25"/>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Ergebnis!$I$100</c:f>
              <c:numCache>
                <c:formatCode>_-* #,##0_-;\-* #,##0_-;_-* "-"??_-;_-@_-</c:formatCode>
                <c:ptCount val="1"/>
                <c:pt idx="0">
                  <c:v>20267.490000000002</c:v>
                </c:pt>
              </c:numCache>
            </c:numRef>
          </c:val>
          <c:extLst>
            <c:ext xmlns:c16="http://schemas.microsoft.com/office/drawing/2014/chart" uri="{C3380CC4-5D6E-409C-BE32-E72D297353CC}">
              <c16:uniqueId val="{00000006-7A08-4926-8931-063020D92C86}"/>
            </c:ext>
          </c:extLst>
        </c:ser>
        <c:ser>
          <c:idx val="8"/>
          <c:order val="2"/>
          <c:tx>
            <c:strRef>
              <c:f>Ergebnis!$H$99</c:f>
              <c:strCache>
                <c:ptCount val="1"/>
                <c:pt idx="0">
                  <c:v>Schüleraustausch</c:v>
                </c:pt>
              </c:strCache>
            </c:strRef>
          </c:tx>
          <c:spPr>
            <a:solidFill>
              <a:srgbClr val="005989"/>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Ergebnis!$I$99</c:f>
              <c:numCache>
                <c:formatCode>_-* #,##0_-;\-* #,##0_-;_-* "-"??_-;_-@_-</c:formatCode>
                <c:ptCount val="1"/>
                <c:pt idx="0">
                  <c:v>6423</c:v>
                </c:pt>
              </c:numCache>
            </c:numRef>
          </c:val>
          <c:extLst>
            <c:ext xmlns:c16="http://schemas.microsoft.com/office/drawing/2014/chart" uri="{C3380CC4-5D6E-409C-BE32-E72D297353CC}">
              <c16:uniqueId val="{00000001-071F-4A89-B04F-8C0714327B26}"/>
            </c:ext>
          </c:extLst>
        </c:ser>
        <c:ser>
          <c:idx val="5"/>
          <c:order val="3"/>
          <c:tx>
            <c:strRef>
              <c:f>Ergebnis!$H$98</c:f>
              <c:strCache>
                <c:ptCount val="1"/>
                <c:pt idx="0">
                  <c:v>Klassenfahrten</c:v>
                </c:pt>
              </c:strCache>
            </c:strRef>
          </c:tx>
          <c:spPr>
            <a:solidFill>
              <a:srgbClr val="005989"/>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Ergebnis!$I$98</c:f>
              <c:numCache>
                <c:formatCode>_-* #,##0_-;\-* #,##0_-;_-* "-"??_-;_-@_-</c:formatCode>
                <c:ptCount val="1"/>
                <c:pt idx="0">
                  <c:v>12959.25</c:v>
                </c:pt>
              </c:numCache>
            </c:numRef>
          </c:val>
          <c:extLst>
            <c:ext xmlns:c16="http://schemas.microsoft.com/office/drawing/2014/chart" uri="{C3380CC4-5D6E-409C-BE32-E72D297353CC}">
              <c16:uniqueId val="{00000005-7A08-4926-8931-063020D92C86}"/>
            </c:ext>
          </c:extLst>
        </c:ser>
        <c:ser>
          <c:idx val="4"/>
          <c:order val="4"/>
          <c:tx>
            <c:strRef>
              <c:f>Ergebnis!$H$97</c:f>
              <c:strCache>
                <c:ptCount val="1"/>
                <c:pt idx="0">
                  <c:v>Schulweg Lehrer:innen</c:v>
                </c:pt>
              </c:strCache>
            </c:strRef>
          </c:tx>
          <c:spPr>
            <a:solidFill>
              <a:srgbClr val="005989"/>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Ergebnis!$I$97</c:f>
              <c:numCache>
                <c:formatCode>_-* #,##0_-;\-* #,##0_-;_-* "-"??_-;_-@_-</c:formatCode>
                <c:ptCount val="1"/>
                <c:pt idx="0">
                  <c:v>9406.4024999999983</c:v>
                </c:pt>
              </c:numCache>
            </c:numRef>
          </c:val>
          <c:extLst>
            <c:ext xmlns:c16="http://schemas.microsoft.com/office/drawing/2014/chart" uri="{C3380CC4-5D6E-409C-BE32-E72D297353CC}">
              <c16:uniqueId val="{00000004-7A08-4926-8931-063020D92C86}"/>
            </c:ext>
          </c:extLst>
        </c:ser>
        <c:ser>
          <c:idx val="3"/>
          <c:order val="5"/>
          <c:tx>
            <c:strRef>
              <c:f>Ergebnis!$H$96</c:f>
              <c:strCache>
                <c:ptCount val="1"/>
                <c:pt idx="0">
                  <c:v>Schulweg Schüler:innen</c:v>
                </c:pt>
              </c:strCache>
            </c:strRef>
          </c:tx>
          <c:spPr>
            <a:solidFill>
              <a:srgbClr val="005989"/>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Ergebnis!$I$96</c:f>
              <c:numCache>
                <c:formatCode>_-* #,##0_-;\-* #,##0_-;_-* "-"??_-;_-@_-</c:formatCode>
                <c:ptCount val="1"/>
                <c:pt idx="0">
                  <c:v>50046.57</c:v>
                </c:pt>
              </c:numCache>
            </c:numRef>
          </c:val>
          <c:extLst>
            <c:ext xmlns:c16="http://schemas.microsoft.com/office/drawing/2014/chart" uri="{C3380CC4-5D6E-409C-BE32-E72D297353CC}">
              <c16:uniqueId val="{00000003-7A08-4926-8931-063020D92C86}"/>
            </c:ext>
          </c:extLst>
        </c:ser>
        <c:ser>
          <c:idx val="2"/>
          <c:order val="6"/>
          <c:tx>
            <c:strRef>
              <c:f>Ergebnis!$H$95</c:f>
              <c:strCache>
                <c:ptCount val="1"/>
                <c:pt idx="0">
                  <c:v>bestehende PV-Anlage</c:v>
                </c:pt>
              </c:strCache>
            </c:strRef>
          </c:tx>
          <c:spPr>
            <a:solidFill>
              <a:srgbClr val="F18800"/>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Ergebnis!$I$95</c:f>
              <c:numCache>
                <c:formatCode>_-* #,##0_-;\-* #,##0_-;_-* "-"??_-;_-@_-</c:formatCode>
                <c:ptCount val="1"/>
                <c:pt idx="0">
                  <c:v>-22643.908468404425</c:v>
                </c:pt>
              </c:numCache>
            </c:numRef>
          </c:val>
          <c:extLst>
            <c:ext xmlns:c16="http://schemas.microsoft.com/office/drawing/2014/chart" uri="{C3380CC4-5D6E-409C-BE32-E72D297353CC}">
              <c16:uniqueId val="{00000002-7A08-4926-8931-063020D92C86}"/>
            </c:ext>
          </c:extLst>
        </c:ser>
        <c:ser>
          <c:idx val="1"/>
          <c:order val="7"/>
          <c:tx>
            <c:strRef>
              <c:f>Ergebnis!$H$94</c:f>
              <c:strCache>
                <c:ptCount val="1"/>
                <c:pt idx="0">
                  <c:v>Stromverbrauch</c:v>
                </c:pt>
              </c:strCache>
            </c:strRef>
          </c:tx>
          <c:spPr>
            <a:solidFill>
              <a:srgbClr val="F18800"/>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Ergebnis!$I$94</c:f>
              <c:numCache>
                <c:formatCode>_-* #,##0_-;\-* #,##0_-;_-* "-"??_-;_-@_-</c:formatCode>
                <c:ptCount val="1"/>
                <c:pt idx="0">
                  <c:v>24999.75</c:v>
                </c:pt>
              </c:numCache>
            </c:numRef>
          </c:val>
          <c:extLst>
            <c:ext xmlns:c16="http://schemas.microsoft.com/office/drawing/2014/chart" uri="{C3380CC4-5D6E-409C-BE32-E72D297353CC}">
              <c16:uniqueId val="{00000001-7A08-4926-8931-063020D92C86}"/>
            </c:ext>
          </c:extLst>
        </c:ser>
        <c:ser>
          <c:idx val="0"/>
          <c:order val="8"/>
          <c:tx>
            <c:strRef>
              <c:f>Ergebnis!$H$93</c:f>
              <c:strCache>
                <c:ptCount val="1"/>
                <c:pt idx="0">
                  <c:v>Wärmebedarf</c:v>
                </c:pt>
              </c:strCache>
            </c:strRef>
          </c:tx>
          <c:spPr>
            <a:solidFill>
              <a:srgbClr val="F18800"/>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Ergebnis!$I$93</c:f>
              <c:numCache>
                <c:formatCode>_-* #,##0_-;\-* #,##0_-;_-* "-"??_-;_-@_-</c:formatCode>
                <c:ptCount val="1"/>
                <c:pt idx="0">
                  <c:v>15888.411000000002</c:v>
                </c:pt>
              </c:numCache>
            </c:numRef>
          </c:val>
          <c:extLst>
            <c:ext xmlns:c16="http://schemas.microsoft.com/office/drawing/2014/chart" uri="{C3380CC4-5D6E-409C-BE32-E72D297353CC}">
              <c16:uniqueId val="{00000000-7A08-4926-8931-063020D92C86}"/>
            </c:ext>
          </c:extLst>
        </c:ser>
        <c:dLbls>
          <c:dLblPos val="ctr"/>
          <c:showLegendKey val="0"/>
          <c:showVal val="1"/>
          <c:showCatName val="0"/>
          <c:showSerName val="0"/>
          <c:showPercent val="0"/>
          <c:showBubbleSize val="0"/>
        </c:dLbls>
        <c:gapWidth val="100"/>
        <c:overlap val="-10"/>
        <c:axId val="1032219840"/>
        <c:axId val="882053376"/>
      </c:barChart>
      <c:catAx>
        <c:axId val="1032219840"/>
        <c:scaling>
          <c:orientation val="minMax"/>
        </c:scaling>
        <c:delete val="1"/>
        <c:axPos val="l"/>
        <c:numFmt formatCode="General" sourceLinked="1"/>
        <c:majorTickMark val="none"/>
        <c:minorTickMark val="none"/>
        <c:tickLblPos val="nextTo"/>
        <c:crossAx val="882053376"/>
        <c:crosses val="autoZero"/>
        <c:auto val="1"/>
        <c:lblAlgn val="ctr"/>
        <c:lblOffset val="100"/>
        <c:noMultiLvlLbl val="0"/>
      </c:catAx>
      <c:valAx>
        <c:axId val="8820533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Emissionen in kg CO</a:t>
                </a:r>
                <a:r>
                  <a:rPr lang="de-DE" baseline="-25000"/>
                  <a:t>2</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32219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Ergebnis!$H$90</c:f>
          <c:strCache>
            <c:ptCount val="1"/>
            <c:pt idx="0">
              <c:v>Ergebnis CO₂-Bilanz für Schule ABC</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2847704381779867E-2"/>
          <c:y val="0.15095646303635549"/>
          <c:w val="0.89417552144824874"/>
          <c:h val="0.70288320814736849"/>
        </c:manualLayout>
      </c:layout>
      <c:barChart>
        <c:barDir val="bar"/>
        <c:grouping val="clustered"/>
        <c:varyColors val="0"/>
        <c:ser>
          <c:idx val="7"/>
          <c:order val="0"/>
          <c:tx>
            <c:strRef>
              <c:f>Ergebnis!$H$101</c:f>
              <c:strCache>
                <c:ptCount val="1"/>
                <c:pt idx="0">
                  <c:v>Beschaffung</c:v>
                </c:pt>
              </c:strCache>
            </c:strRef>
          </c:tx>
          <c:spPr>
            <a:solidFill>
              <a:srgbClr val="E94B4D"/>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Ergebnis!$I$101</c:f>
              <c:numCache>
                <c:formatCode>_-* #,##0_-;\-* #,##0_-;_-* "-"??_-;_-@_-</c:formatCode>
                <c:ptCount val="1"/>
                <c:pt idx="0">
                  <c:v>15823.704900000001</c:v>
                </c:pt>
              </c:numCache>
            </c:numRef>
          </c:val>
          <c:extLst>
            <c:ext xmlns:c16="http://schemas.microsoft.com/office/drawing/2014/chart" uri="{C3380CC4-5D6E-409C-BE32-E72D297353CC}">
              <c16:uniqueId val="{00000007-7A08-4926-8931-063020D92C86}"/>
            </c:ext>
          </c:extLst>
        </c:ser>
        <c:ser>
          <c:idx val="6"/>
          <c:order val="1"/>
          <c:tx>
            <c:strRef>
              <c:f>Ergebnis!$H$100</c:f>
              <c:strCache>
                <c:ptCount val="1"/>
                <c:pt idx="0">
                  <c:v>Schulkantine</c:v>
                </c:pt>
              </c:strCache>
            </c:strRef>
          </c:tx>
          <c:spPr>
            <a:solidFill>
              <a:srgbClr val="87BD25"/>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Ergebnis!$I$100</c:f>
              <c:numCache>
                <c:formatCode>_-* #,##0_-;\-* #,##0_-;_-* "-"??_-;_-@_-</c:formatCode>
                <c:ptCount val="1"/>
                <c:pt idx="0">
                  <c:v>20267.490000000002</c:v>
                </c:pt>
              </c:numCache>
            </c:numRef>
          </c:val>
          <c:extLst>
            <c:ext xmlns:c16="http://schemas.microsoft.com/office/drawing/2014/chart" uri="{C3380CC4-5D6E-409C-BE32-E72D297353CC}">
              <c16:uniqueId val="{00000006-7A08-4926-8931-063020D92C86}"/>
            </c:ext>
          </c:extLst>
        </c:ser>
        <c:ser>
          <c:idx val="8"/>
          <c:order val="2"/>
          <c:tx>
            <c:strRef>
              <c:f>Ergebnis!$H$99</c:f>
              <c:strCache>
                <c:ptCount val="1"/>
                <c:pt idx="0">
                  <c:v>Schüleraustausch</c:v>
                </c:pt>
              </c:strCache>
            </c:strRef>
          </c:tx>
          <c:spPr>
            <a:pattFill prst="dkUpDiag">
              <a:fgClr>
                <a:srgbClr val="00A1FA"/>
              </a:fgClr>
              <a:bgClr>
                <a:schemeClr val="bg1"/>
              </a:bgClr>
            </a:patt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Ergebnis!$I$99</c:f>
              <c:numCache>
                <c:formatCode>_-* #,##0_-;\-* #,##0_-;_-* "-"??_-;_-@_-</c:formatCode>
                <c:ptCount val="1"/>
                <c:pt idx="0">
                  <c:v>6423</c:v>
                </c:pt>
              </c:numCache>
            </c:numRef>
          </c:val>
          <c:extLst>
            <c:ext xmlns:c16="http://schemas.microsoft.com/office/drawing/2014/chart" uri="{C3380CC4-5D6E-409C-BE32-E72D297353CC}">
              <c16:uniqueId val="{00000001-071F-4A89-B04F-8C0714327B26}"/>
            </c:ext>
          </c:extLst>
        </c:ser>
        <c:ser>
          <c:idx val="5"/>
          <c:order val="3"/>
          <c:tx>
            <c:strRef>
              <c:f>Ergebnis!$H$98</c:f>
              <c:strCache>
                <c:ptCount val="1"/>
                <c:pt idx="0">
                  <c:v>Klassenfahrten</c:v>
                </c:pt>
              </c:strCache>
            </c:strRef>
          </c:tx>
          <c:spPr>
            <a:solidFill>
              <a:srgbClr val="00A1FA"/>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Ergebnis!$I$98</c:f>
              <c:numCache>
                <c:formatCode>_-* #,##0_-;\-* #,##0_-;_-* "-"??_-;_-@_-</c:formatCode>
                <c:ptCount val="1"/>
                <c:pt idx="0">
                  <c:v>12959.25</c:v>
                </c:pt>
              </c:numCache>
            </c:numRef>
          </c:val>
          <c:extLst>
            <c:ext xmlns:c16="http://schemas.microsoft.com/office/drawing/2014/chart" uri="{C3380CC4-5D6E-409C-BE32-E72D297353CC}">
              <c16:uniqueId val="{00000005-7A08-4926-8931-063020D92C86}"/>
            </c:ext>
          </c:extLst>
        </c:ser>
        <c:ser>
          <c:idx val="4"/>
          <c:order val="4"/>
          <c:tx>
            <c:strRef>
              <c:f>Ergebnis!$H$97</c:f>
              <c:strCache>
                <c:ptCount val="1"/>
                <c:pt idx="0">
                  <c:v>Schulweg Lehrer:innen</c:v>
                </c:pt>
              </c:strCache>
            </c:strRef>
          </c:tx>
          <c:spPr>
            <a:pattFill prst="dkUpDiag">
              <a:fgClr>
                <a:srgbClr val="005989"/>
              </a:fgClr>
              <a:bgClr>
                <a:schemeClr val="bg1"/>
              </a:bgClr>
            </a:patt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Ergebnis!$I$97</c:f>
              <c:numCache>
                <c:formatCode>_-* #,##0_-;\-* #,##0_-;_-* "-"??_-;_-@_-</c:formatCode>
                <c:ptCount val="1"/>
                <c:pt idx="0">
                  <c:v>9406.4024999999983</c:v>
                </c:pt>
              </c:numCache>
            </c:numRef>
          </c:val>
          <c:extLst>
            <c:ext xmlns:c16="http://schemas.microsoft.com/office/drawing/2014/chart" uri="{C3380CC4-5D6E-409C-BE32-E72D297353CC}">
              <c16:uniqueId val="{00000004-7A08-4926-8931-063020D92C86}"/>
            </c:ext>
          </c:extLst>
        </c:ser>
        <c:ser>
          <c:idx val="3"/>
          <c:order val="5"/>
          <c:tx>
            <c:strRef>
              <c:f>Ergebnis!$H$96</c:f>
              <c:strCache>
                <c:ptCount val="1"/>
                <c:pt idx="0">
                  <c:v>Schulweg Schüler:innen</c:v>
                </c:pt>
              </c:strCache>
            </c:strRef>
          </c:tx>
          <c:spPr>
            <a:solidFill>
              <a:srgbClr val="005989"/>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Ergebnis!$I$96</c:f>
              <c:numCache>
                <c:formatCode>_-* #,##0_-;\-* #,##0_-;_-* "-"??_-;_-@_-</c:formatCode>
                <c:ptCount val="1"/>
                <c:pt idx="0">
                  <c:v>50046.57</c:v>
                </c:pt>
              </c:numCache>
            </c:numRef>
          </c:val>
          <c:extLst>
            <c:ext xmlns:c16="http://schemas.microsoft.com/office/drawing/2014/chart" uri="{C3380CC4-5D6E-409C-BE32-E72D297353CC}">
              <c16:uniqueId val="{00000003-7A08-4926-8931-063020D92C86}"/>
            </c:ext>
          </c:extLst>
        </c:ser>
        <c:ser>
          <c:idx val="2"/>
          <c:order val="6"/>
          <c:tx>
            <c:strRef>
              <c:f>Ergebnis!$H$95</c:f>
              <c:strCache>
                <c:ptCount val="1"/>
                <c:pt idx="0">
                  <c:v>bestehende PV-Anlage</c:v>
                </c:pt>
              </c:strCache>
            </c:strRef>
          </c:tx>
          <c:spPr>
            <a:pattFill prst="ltDnDiag">
              <a:fgClr>
                <a:srgbClr val="F18800"/>
              </a:fgClr>
              <a:bgClr>
                <a:schemeClr val="bg1"/>
              </a:bgClr>
            </a:patt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Ergebnis!$I$95</c:f>
              <c:numCache>
                <c:formatCode>_-* #,##0_-;\-* #,##0_-;_-* "-"??_-;_-@_-</c:formatCode>
                <c:ptCount val="1"/>
                <c:pt idx="0">
                  <c:v>-22643.908468404425</c:v>
                </c:pt>
              </c:numCache>
            </c:numRef>
          </c:val>
          <c:extLst>
            <c:ext xmlns:c16="http://schemas.microsoft.com/office/drawing/2014/chart" uri="{C3380CC4-5D6E-409C-BE32-E72D297353CC}">
              <c16:uniqueId val="{00000002-7A08-4926-8931-063020D92C86}"/>
            </c:ext>
          </c:extLst>
        </c:ser>
        <c:ser>
          <c:idx val="1"/>
          <c:order val="7"/>
          <c:tx>
            <c:strRef>
              <c:f>Ergebnis!$H$94</c:f>
              <c:strCache>
                <c:ptCount val="1"/>
                <c:pt idx="0">
                  <c:v>Stromverbrauch</c:v>
                </c:pt>
              </c:strCache>
            </c:strRef>
          </c:tx>
          <c:spPr>
            <a:pattFill prst="dkUpDiag">
              <a:fgClr>
                <a:srgbClr val="F18800"/>
              </a:fgClr>
              <a:bgClr>
                <a:schemeClr val="bg1"/>
              </a:bgClr>
            </a:patt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Ergebnis!$I$94</c:f>
              <c:numCache>
                <c:formatCode>_-* #,##0_-;\-* #,##0_-;_-* "-"??_-;_-@_-</c:formatCode>
                <c:ptCount val="1"/>
                <c:pt idx="0">
                  <c:v>24999.75</c:v>
                </c:pt>
              </c:numCache>
            </c:numRef>
          </c:val>
          <c:extLst>
            <c:ext xmlns:c16="http://schemas.microsoft.com/office/drawing/2014/chart" uri="{C3380CC4-5D6E-409C-BE32-E72D297353CC}">
              <c16:uniqueId val="{00000001-7A08-4926-8931-063020D92C86}"/>
            </c:ext>
          </c:extLst>
        </c:ser>
        <c:ser>
          <c:idx val="0"/>
          <c:order val="8"/>
          <c:tx>
            <c:strRef>
              <c:f>Ergebnis!$H$93</c:f>
              <c:strCache>
                <c:ptCount val="1"/>
                <c:pt idx="0">
                  <c:v>Wärmebedarf</c:v>
                </c:pt>
              </c:strCache>
            </c:strRef>
          </c:tx>
          <c:spPr>
            <a:solidFill>
              <a:srgbClr val="F18800"/>
            </a:solidFill>
            <a:ln>
              <a:noFill/>
            </a:ln>
            <a:effectLst/>
          </c:spPr>
          <c:invertIfNegative val="0"/>
          <c:dLbls>
            <c:spPr>
              <a:solidFill>
                <a:schemeClr val="bg1">
                  <a:alpha val="4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Ergebnis!$I$93</c:f>
              <c:numCache>
                <c:formatCode>_-* #,##0_-;\-* #,##0_-;_-* "-"??_-;_-@_-</c:formatCode>
                <c:ptCount val="1"/>
                <c:pt idx="0">
                  <c:v>15888.411000000002</c:v>
                </c:pt>
              </c:numCache>
            </c:numRef>
          </c:val>
          <c:extLst>
            <c:ext xmlns:c16="http://schemas.microsoft.com/office/drawing/2014/chart" uri="{C3380CC4-5D6E-409C-BE32-E72D297353CC}">
              <c16:uniqueId val="{00000000-7A08-4926-8931-063020D92C86}"/>
            </c:ext>
          </c:extLst>
        </c:ser>
        <c:dLbls>
          <c:dLblPos val="ctr"/>
          <c:showLegendKey val="0"/>
          <c:showVal val="1"/>
          <c:showCatName val="0"/>
          <c:showSerName val="0"/>
          <c:showPercent val="0"/>
          <c:showBubbleSize val="0"/>
        </c:dLbls>
        <c:gapWidth val="100"/>
        <c:overlap val="-10"/>
        <c:axId val="1032219840"/>
        <c:axId val="882053376"/>
      </c:barChart>
      <c:catAx>
        <c:axId val="1032219840"/>
        <c:scaling>
          <c:orientation val="minMax"/>
        </c:scaling>
        <c:delete val="1"/>
        <c:axPos val="l"/>
        <c:numFmt formatCode="General" sourceLinked="1"/>
        <c:majorTickMark val="none"/>
        <c:minorTickMark val="none"/>
        <c:tickLblPos val="nextTo"/>
        <c:crossAx val="882053376"/>
        <c:crosses val="autoZero"/>
        <c:auto val="1"/>
        <c:lblAlgn val="ctr"/>
        <c:lblOffset val="100"/>
        <c:noMultiLvlLbl val="0"/>
      </c:catAx>
      <c:valAx>
        <c:axId val="8820533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Emissionen in kg CO</a:t>
                </a:r>
                <a:r>
                  <a:rPr lang="de-DE" baseline="-25000"/>
                  <a:t>2</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32219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Solarproduktion und Stromverbrauch pro Monat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0"/>
          <c:order val="0"/>
          <c:tx>
            <c:strRef>
              <c:f>PV!$C$84</c:f>
              <c:strCache>
                <c:ptCount val="1"/>
                <c:pt idx="0">
                  <c:v>Solarproduktion</c:v>
                </c:pt>
              </c:strCache>
            </c:strRef>
          </c:tx>
          <c:spPr>
            <a:solidFill>
              <a:srgbClr val="FFC001"/>
            </a:solidFill>
            <a:ln>
              <a:noFill/>
            </a:ln>
            <a:effectLst/>
          </c:spPr>
          <c:cat>
            <c:strRef>
              <c:f>PV!$B$85:$B$96</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PV!$C$85:$C$96</c:f>
              <c:numCache>
                <c:formatCode>#,##0\ "kWh"</c:formatCode>
                <c:ptCount val="12"/>
                <c:pt idx="0">
                  <c:v>3280.7573303752069</c:v>
                </c:pt>
                <c:pt idx="1">
                  <c:v>4989.0670569047052</c:v>
                </c:pt>
                <c:pt idx="2">
                  <c:v>7490.7797062674126</c:v>
                </c:pt>
                <c:pt idx="3">
                  <c:v>9417.4348825617944</c:v>
                </c:pt>
                <c:pt idx="4">
                  <c:v>10814.602429933993</c:v>
                </c:pt>
                <c:pt idx="5">
                  <c:v>10798.852953937696</c:v>
                </c:pt>
                <c:pt idx="6">
                  <c:v>11540.96386100237</c:v>
                </c:pt>
                <c:pt idx="7">
                  <c:v>11021.083732005047</c:v>
                </c:pt>
                <c:pt idx="8">
                  <c:v>8655.1270901495409</c:v>
                </c:pt>
                <c:pt idx="9">
                  <c:v>5931.9695931821907</c:v>
                </c:pt>
                <c:pt idx="10">
                  <c:v>3916.0180133511767</c:v>
                </c:pt>
                <c:pt idx="11">
                  <c:v>2718.9772239465638</c:v>
                </c:pt>
              </c:numCache>
            </c:numRef>
          </c:val>
          <c:extLst>
            <c:ext xmlns:c16="http://schemas.microsoft.com/office/drawing/2014/chart" uri="{C3380CC4-5D6E-409C-BE32-E72D297353CC}">
              <c16:uniqueId val="{00000000-17D7-42C7-AD0C-2FFF9D540F60}"/>
            </c:ext>
          </c:extLst>
        </c:ser>
        <c:ser>
          <c:idx val="1"/>
          <c:order val="1"/>
          <c:tx>
            <c:strRef>
              <c:f>PV!$D$84</c:f>
              <c:strCache>
                <c:ptCount val="1"/>
                <c:pt idx="0">
                  <c:v>Verbrauch</c:v>
                </c:pt>
              </c:strCache>
            </c:strRef>
          </c:tx>
          <c:spPr>
            <a:solidFill>
              <a:srgbClr val="005989">
                <a:alpha val="45000"/>
              </a:srgbClr>
            </a:solidFill>
            <a:ln>
              <a:noFill/>
            </a:ln>
            <a:effectLst/>
          </c:spPr>
          <c:cat>
            <c:strRef>
              <c:f>PV!$B$85:$B$96</c:f>
              <c:strCache>
                <c:ptCount val="12"/>
                <c:pt idx="0">
                  <c:v>Jan</c:v>
                </c:pt>
                <c:pt idx="1">
                  <c:v>Feb</c:v>
                </c:pt>
                <c:pt idx="2">
                  <c:v>Mar</c:v>
                </c:pt>
                <c:pt idx="3">
                  <c:v>Apr</c:v>
                </c:pt>
                <c:pt idx="4">
                  <c:v>Mai</c:v>
                </c:pt>
                <c:pt idx="5">
                  <c:v>Jun</c:v>
                </c:pt>
                <c:pt idx="6">
                  <c:v>Jul</c:v>
                </c:pt>
                <c:pt idx="7">
                  <c:v>Aug</c:v>
                </c:pt>
                <c:pt idx="8">
                  <c:v>Sep</c:v>
                </c:pt>
                <c:pt idx="9">
                  <c:v>Okt</c:v>
                </c:pt>
                <c:pt idx="10">
                  <c:v>Nov</c:v>
                </c:pt>
                <c:pt idx="11">
                  <c:v>Dez</c:v>
                </c:pt>
              </c:strCache>
            </c:strRef>
          </c:cat>
          <c:val>
            <c:numRef>
              <c:f>PV!$D$85:$D$96</c:f>
              <c:numCache>
                <c:formatCode>#,##0\ "kWh"</c:formatCode>
                <c:ptCount val="12"/>
                <c:pt idx="0">
                  <c:v>9393.9060599999975</c:v>
                </c:pt>
                <c:pt idx="1">
                  <c:v>8662.9133699999984</c:v>
                </c:pt>
                <c:pt idx="2">
                  <c:v>9010.909889999999</c:v>
                </c:pt>
                <c:pt idx="3">
                  <c:v>8326.916729999999</c:v>
                </c:pt>
                <c:pt idx="4">
                  <c:v>7961.9203799999996</c:v>
                </c:pt>
                <c:pt idx="5">
                  <c:v>7464.9253499999995</c:v>
                </c:pt>
                <c:pt idx="6">
                  <c:v>7757.9224199999981</c:v>
                </c:pt>
                <c:pt idx="7">
                  <c:v>7551.9244799999979</c:v>
                </c:pt>
                <c:pt idx="8">
                  <c:v>7566.9243299999989</c:v>
                </c:pt>
                <c:pt idx="9">
                  <c:v>8550.9144899999992</c:v>
                </c:pt>
                <c:pt idx="10">
                  <c:v>8564.9143499999991</c:v>
                </c:pt>
                <c:pt idx="11">
                  <c:v>9184.9081499999993</c:v>
                </c:pt>
              </c:numCache>
            </c:numRef>
          </c:val>
          <c:extLst>
            <c:ext xmlns:c16="http://schemas.microsoft.com/office/drawing/2014/chart" uri="{C3380CC4-5D6E-409C-BE32-E72D297353CC}">
              <c16:uniqueId val="{00000001-17D7-42C7-AD0C-2FFF9D540F60}"/>
            </c:ext>
          </c:extLst>
        </c:ser>
        <c:dLbls>
          <c:showLegendKey val="0"/>
          <c:showVal val="0"/>
          <c:showCatName val="0"/>
          <c:showSerName val="0"/>
          <c:showPercent val="0"/>
          <c:showBubbleSize val="0"/>
        </c:dLbls>
        <c:axId val="611667344"/>
        <c:axId val="611669424"/>
      </c:areaChart>
      <c:catAx>
        <c:axId val="61166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1669424"/>
        <c:crosses val="autoZero"/>
        <c:auto val="1"/>
        <c:lblAlgn val="ctr"/>
        <c:lblOffset val="100"/>
        <c:noMultiLvlLbl val="0"/>
      </c:catAx>
      <c:valAx>
        <c:axId val="61166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Verbrauch/Produktion in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quot;kWh&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16673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Schulwege!$C$89</c:f>
          <c:strCache>
            <c:ptCount val="1"/>
            <c:pt idx="0">
              <c:v>Verkehrsmittelwahl (Modal Split) der Schüler:innen</c:v>
            </c:pt>
          </c:strCache>
        </c:strRef>
      </c:tx>
      <c:layout>
        <c:manualLayout>
          <c:xMode val="edge"/>
          <c:yMode val="edge"/>
          <c:x val="0.19722176655001458"/>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Schulwege!$C$93</c:f>
              <c:strCache>
                <c:ptCount val="1"/>
                <c:pt idx="0">
                  <c:v>zu Fuß</c:v>
                </c:pt>
              </c:strCache>
            </c:strRef>
          </c:tx>
          <c:spPr>
            <a:solidFill>
              <a:srgbClr val="FFE699"/>
            </a:solidFill>
            <a:ln>
              <a:noFill/>
            </a:ln>
            <a:effectLst/>
          </c:spPr>
          <c:invertIfNegative val="0"/>
          <c:cat>
            <c:strRef>
              <c:f>Schulwege!$G$92:$I$92</c:f>
              <c:strCache>
                <c:ptCount val="3"/>
                <c:pt idx="0">
                  <c:v>Frühjahr bis Herbst</c:v>
                </c:pt>
                <c:pt idx="1">
                  <c:v>Winter</c:v>
                </c:pt>
                <c:pt idx="2">
                  <c:v>Jahresmittel</c:v>
                </c:pt>
              </c:strCache>
            </c:strRef>
          </c:cat>
          <c:val>
            <c:numRef>
              <c:f>Schulwege!$G$93:$I$93</c:f>
              <c:numCache>
                <c:formatCode>0.0%</c:formatCode>
                <c:ptCount val="3"/>
                <c:pt idx="0">
                  <c:v>0</c:v>
                </c:pt>
                <c:pt idx="1">
                  <c:v>0</c:v>
                </c:pt>
                <c:pt idx="2">
                  <c:v>0</c:v>
                </c:pt>
              </c:numCache>
            </c:numRef>
          </c:val>
          <c:extLst>
            <c:ext xmlns:c16="http://schemas.microsoft.com/office/drawing/2014/chart" uri="{C3380CC4-5D6E-409C-BE32-E72D297353CC}">
              <c16:uniqueId val="{00000000-1288-4D55-B022-997FED1681F9}"/>
            </c:ext>
          </c:extLst>
        </c:ser>
        <c:ser>
          <c:idx val="1"/>
          <c:order val="1"/>
          <c:tx>
            <c:strRef>
              <c:f>Schulwege!$C$94</c:f>
              <c:strCache>
                <c:ptCount val="1"/>
                <c:pt idx="0">
                  <c:v>Fahrrad</c:v>
                </c:pt>
              </c:strCache>
            </c:strRef>
          </c:tx>
          <c:spPr>
            <a:solidFill>
              <a:srgbClr val="A9D08E"/>
            </a:solidFill>
            <a:ln>
              <a:noFill/>
            </a:ln>
            <a:effectLst/>
          </c:spPr>
          <c:invertIfNegative val="0"/>
          <c:cat>
            <c:strRef>
              <c:f>Schulwege!$G$92:$I$92</c:f>
              <c:strCache>
                <c:ptCount val="3"/>
                <c:pt idx="0">
                  <c:v>Frühjahr bis Herbst</c:v>
                </c:pt>
                <c:pt idx="1">
                  <c:v>Winter</c:v>
                </c:pt>
                <c:pt idx="2">
                  <c:v>Jahresmittel</c:v>
                </c:pt>
              </c:strCache>
            </c:strRef>
          </c:cat>
          <c:val>
            <c:numRef>
              <c:f>Schulwege!$G$94:$I$94</c:f>
              <c:numCache>
                <c:formatCode>0.0%</c:formatCode>
                <c:ptCount val="3"/>
                <c:pt idx="0">
                  <c:v>0.66666666666666663</c:v>
                </c:pt>
                <c:pt idx="1">
                  <c:v>0.55555555555555558</c:v>
                </c:pt>
                <c:pt idx="2">
                  <c:v>0.63271604938271608</c:v>
                </c:pt>
              </c:numCache>
            </c:numRef>
          </c:val>
          <c:extLst>
            <c:ext xmlns:c16="http://schemas.microsoft.com/office/drawing/2014/chart" uri="{C3380CC4-5D6E-409C-BE32-E72D297353CC}">
              <c16:uniqueId val="{00000001-1288-4D55-B022-997FED1681F9}"/>
            </c:ext>
          </c:extLst>
        </c:ser>
        <c:ser>
          <c:idx val="2"/>
          <c:order val="2"/>
          <c:tx>
            <c:strRef>
              <c:f>Schulwege!$C$95</c:f>
              <c:strCache>
                <c:ptCount val="1"/>
                <c:pt idx="0">
                  <c:v>Bus und ÖPNV</c:v>
                </c:pt>
              </c:strCache>
            </c:strRef>
          </c:tx>
          <c:spPr>
            <a:solidFill>
              <a:srgbClr val="D9E1F2"/>
            </a:solidFill>
            <a:ln>
              <a:noFill/>
            </a:ln>
            <a:effectLst/>
          </c:spPr>
          <c:invertIfNegative val="0"/>
          <c:cat>
            <c:strRef>
              <c:f>Schulwege!$G$92:$I$92</c:f>
              <c:strCache>
                <c:ptCount val="3"/>
                <c:pt idx="0">
                  <c:v>Frühjahr bis Herbst</c:v>
                </c:pt>
                <c:pt idx="1">
                  <c:v>Winter</c:v>
                </c:pt>
                <c:pt idx="2">
                  <c:v>Jahresmittel</c:v>
                </c:pt>
              </c:strCache>
            </c:strRef>
          </c:cat>
          <c:val>
            <c:numRef>
              <c:f>Schulwege!$G$95:$I$95</c:f>
              <c:numCache>
                <c:formatCode>0.0%</c:formatCode>
                <c:ptCount val="3"/>
                <c:pt idx="0">
                  <c:v>0.22222222222222221</c:v>
                </c:pt>
                <c:pt idx="1">
                  <c:v>0.33333333333333331</c:v>
                </c:pt>
                <c:pt idx="2">
                  <c:v>0.25617283950617281</c:v>
                </c:pt>
              </c:numCache>
            </c:numRef>
          </c:val>
          <c:extLst>
            <c:ext xmlns:c16="http://schemas.microsoft.com/office/drawing/2014/chart" uri="{C3380CC4-5D6E-409C-BE32-E72D297353CC}">
              <c16:uniqueId val="{00000002-1288-4D55-B022-997FED1681F9}"/>
            </c:ext>
          </c:extLst>
        </c:ser>
        <c:ser>
          <c:idx val="3"/>
          <c:order val="3"/>
          <c:tx>
            <c:strRef>
              <c:f>Schulwege!$C$96</c:f>
              <c:strCache>
                <c:ptCount val="1"/>
                <c:pt idx="0">
                  <c:v>Auto</c:v>
                </c:pt>
              </c:strCache>
            </c:strRef>
          </c:tx>
          <c:spPr>
            <a:solidFill>
              <a:srgbClr val="F4B084"/>
            </a:solidFill>
            <a:ln>
              <a:noFill/>
            </a:ln>
            <a:effectLst/>
          </c:spPr>
          <c:invertIfNegative val="0"/>
          <c:cat>
            <c:strRef>
              <c:f>Schulwege!$G$92:$I$92</c:f>
              <c:strCache>
                <c:ptCount val="3"/>
                <c:pt idx="0">
                  <c:v>Frühjahr bis Herbst</c:v>
                </c:pt>
                <c:pt idx="1">
                  <c:v>Winter</c:v>
                </c:pt>
                <c:pt idx="2">
                  <c:v>Jahresmittel</c:v>
                </c:pt>
              </c:strCache>
            </c:strRef>
          </c:cat>
          <c:val>
            <c:numRef>
              <c:f>Schulwege!$G$96:$I$96</c:f>
              <c:numCache>
                <c:formatCode>0.0%</c:formatCode>
                <c:ptCount val="3"/>
                <c:pt idx="0">
                  <c:v>0.1111111111111111</c:v>
                </c:pt>
                <c:pt idx="1">
                  <c:v>0.1111111111111111</c:v>
                </c:pt>
                <c:pt idx="2">
                  <c:v>0.1111111111111111</c:v>
                </c:pt>
              </c:numCache>
            </c:numRef>
          </c:val>
          <c:extLst>
            <c:ext xmlns:c16="http://schemas.microsoft.com/office/drawing/2014/chart" uri="{C3380CC4-5D6E-409C-BE32-E72D297353CC}">
              <c16:uniqueId val="{00000003-1288-4D55-B022-997FED1681F9}"/>
            </c:ext>
          </c:extLst>
        </c:ser>
        <c:ser>
          <c:idx val="4"/>
          <c:order val="4"/>
          <c:tx>
            <c:strRef>
              <c:f>Schulwege!$C$97</c:f>
              <c:strCache>
                <c:ptCount val="1"/>
                <c:pt idx="0">
                  <c:v>Sonstige</c:v>
                </c:pt>
              </c:strCache>
            </c:strRef>
          </c:tx>
          <c:spPr>
            <a:solidFill>
              <a:srgbClr val="D9D9D9"/>
            </a:solidFill>
            <a:ln>
              <a:noFill/>
            </a:ln>
            <a:effectLst/>
          </c:spPr>
          <c:invertIfNegative val="0"/>
          <c:cat>
            <c:strRef>
              <c:f>Schulwege!$G$92:$I$92</c:f>
              <c:strCache>
                <c:ptCount val="3"/>
                <c:pt idx="0">
                  <c:v>Frühjahr bis Herbst</c:v>
                </c:pt>
                <c:pt idx="1">
                  <c:v>Winter</c:v>
                </c:pt>
                <c:pt idx="2">
                  <c:v>Jahresmittel</c:v>
                </c:pt>
              </c:strCache>
            </c:strRef>
          </c:cat>
          <c:val>
            <c:numRef>
              <c:f>Schulwege!$G$97:$I$97</c:f>
              <c:numCache>
                <c:formatCode>0.0%</c:formatCode>
                <c:ptCount val="3"/>
                <c:pt idx="0">
                  <c:v>0</c:v>
                </c:pt>
                <c:pt idx="1">
                  <c:v>0</c:v>
                </c:pt>
                <c:pt idx="2">
                  <c:v>0</c:v>
                </c:pt>
              </c:numCache>
            </c:numRef>
          </c:val>
          <c:extLst>
            <c:ext xmlns:c16="http://schemas.microsoft.com/office/drawing/2014/chart" uri="{C3380CC4-5D6E-409C-BE32-E72D297353CC}">
              <c16:uniqueId val="{00000004-1288-4D55-B022-997FED1681F9}"/>
            </c:ext>
          </c:extLst>
        </c:ser>
        <c:dLbls>
          <c:showLegendKey val="0"/>
          <c:showVal val="0"/>
          <c:showCatName val="0"/>
          <c:showSerName val="0"/>
          <c:showPercent val="0"/>
          <c:showBubbleSize val="0"/>
        </c:dLbls>
        <c:gapWidth val="150"/>
        <c:overlap val="100"/>
        <c:axId val="1629692863"/>
        <c:axId val="1815490655"/>
      </c:barChart>
      <c:catAx>
        <c:axId val="16296928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15490655"/>
        <c:crosses val="autoZero"/>
        <c:auto val="1"/>
        <c:lblAlgn val="ctr"/>
        <c:lblOffset val="100"/>
        <c:noMultiLvlLbl val="0"/>
      </c:catAx>
      <c:valAx>
        <c:axId val="181549065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29692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Schulwege!$C$116</c:f>
          <c:strCache>
            <c:ptCount val="1"/>
            <c:pt idx="0">
              <c:v>Verkehrsmittelwahl (Modal Split) der Schüler:innen im Jahresmittel</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6.274638777985786E-2"/>
          <c:y val="0.29154476172031757"/>
          <c:w val="0.4872037136836439"/>
          <c:h val="0.65522271869842519"/>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2-6C12-4F7D-8117-BF0171D125B0}"/>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6C12-4F7D-8117-BF0171D125B0}"/>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4-6C12-4F7D-8117-BF0171D125B0}"/>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5-6C12-4F7D-8117-BF0171D125B0}"/>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6-6C12-4F7D-8117-BF0171D125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Schulwege!$C$93:$C$97</c:f>
              <c:strCache>
                <c:ptCount val="5"/>
                <c:pt idx="0">
                  <c:v>zu Fuß</c:v>
                </c:pt>
                <c:pt idx="1">
                  <c:v>Fahrrad</c:v>
                </c:pt>
                <c:pt idx="2">
                  <c:v>Bus und ÖPNV</c:v>
                </c:pt>
                <c:pt idx="3">
                  <c:v>Auto</c:v>
                </c:pt>
                <c:pt idx="4">
                  <c:v>Sonstige</c:v>
                </c:pt>
              </c:strCache>
            </c:strRef>
          </c:cat>
          <c:val>
            <c:numRef>
              <c:f>Schulwege!$I$93:$I$97</c:f>
              <c:numCache>
                <c:formatCode>0.0%</c:formatCode>
                <c:ptCount val="5"/>
                <c:pt idx="0">
                  <c:v>0</c:v>
                </c:pt>
                <c:pt idx="1">
                  <c:v>0.63271604938271608</c:v>
                </c:pt>
                <c:pt idx="2">
                  <c:v>0.25617283950617281</c:v>
                </c:pt>
                <c:pt idx="3">
                  <c:v>0.1111111111111111</c:v>
                </c:pt>
                <c:pt idx="4">
                  <c:v>0</c:v>
                </c:pt>
              </c:numCache>
            </c:numRef>
          </c:val>
          <c:extLst>
            <c:ext xmlns:c16="http://schemas.microsoft.com/office/drawing/2014/chart" uri="{C3380CC4-5D6E-409C-BE32-E72D297353CC}">
              <c16:uniqueId val="{00000000-6C12-4F7D-8117-BF0171D125B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Schulwege!$E$116</c:f>
          <c:strCache>
            <c:ptCount val="1"/>
            <c:pt idx="0">
              <c:v>Verkehrsmittelwahl (Modal Split) der Schüler:innen (Frühjahr bis Herbst)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6213470142908992E-2"/>
          <c:y val="0.28617453081307409"/>
          <c:w val="0.49559706568331613"/>
          <c:h val="0.66059294960566861"/>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2-6C12-4F7D-8117-BF0171D125B0}"/>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6C12-4F7D-8117-BF0171D125B0}"/>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4-6C12-4F7D-8117-BF0171D125B0}"/>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5-6C12-4F7D-8117-BF0171D125B0}"/>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6-6C12-4F7D-8117-BF0171D125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Schulwege!$C$93:$C$97</c:f>
              <c:strCache>
                <c:ptCount val="5"/>
                <c:pt idx="0">
                  <c:v>zu Fuß</c:v>
                </c:pt>
                <c:pt idx="1">
                  <c:v>Fahrrad</c:v>
                </c:pt>
                <c:pt idx="2">
                  <c:v>Bus und ÖPNV</c:v>
                </c:pt>
                <c:pt idx="3">
                  <c:v>Auto</c:v>
                </c:pt>
                <c:pt idx="4">
                  <c:v>Sonstige</c:v>
                </c:pt>
              </c:strCache>
            </c:strRef>
          </c:cat>
          <c:val>
            <c:numRef>
              <c:f>Schulwege!$G$93:$G$97</c:f>
              <c:numCache>
                <c:formatCode>0.0%</c:formatCode>
                <c:ptCount val="5"/>
                <c:pt idx="0">
                  <c:v>0</c:v>
                </c:pt>
                <c:pt idx="1">
                  <c:v>0.66666666666666663</c:v>
                </c:pt>
                <c:pt idx="2">
                  <c:v>0.22222222222222221</c:v>
                </c:pt>
                <c:pt idx="3">
                  <c:v>0.1111111111111111</c:v>
                </c:pt>
                <c:pt idx="4">
                  <c:v>0</c:v>
                </c:pt>
              </c:numCache>
            </c:numRef>
          </c:val>
          <c:extLst>
            <c:ext xmlns:c16="http://schemas.microsoft.com/office/drawing/2014/chart" uri="{C3380CC4-5D6E-409C-BE32-E72D297353CC}">
              <c16:uniqueId val="{00000000-6C12-4F7D-8117-BF0171D125B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Schulwege!$H$116</c:f>
          <c:strCache>
            <c:ptCount val="1"/>
            <c:pt idx="0">
              <c:v>Verkehrsmittelwahl (Modal Split) der Schüler:innen im Winter</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3252836953742388E-2"/>
          <c:y val="0.28080429990583072"/>
          <c:w val="0.49778578063756751"/>
          <c:h val="0.66596318051291203"/>
        </c:manualLayout>
      </c:layout>
      <c:pieChart>
        <c:varyColors val="1"/>
        <c:ser>
          <c:idx val="0"/>
          <c:order val="0"/>
          <c:dPt>
            <c:idx val="0"/>
            <c:bubble3D val="0"/>
            <c:spPr>
              <a:solidFill>
                <a:srgbClr val="FFE699"/>
              </a:solidFill>
              <a:ln w="19050">
                <a:solidFill>
                  <a:schemeClr val="lt1"/>
                </a:solidFill>
              </a:ln>
              <a:effectLst/>
            </c:spPr>
            <c:extLst>
              <c:ext xmlns:c16="http://schemas.microsoft.com/office/drawing/2014/chart" uri="{C3380CC4-5D6E-409C-BE32-E72D297353CC}">
                <c16:uniqueId val="{00000002-6C12-4F7D-8117-BF0171D125B0}"/>
              </c:ext>
            </c:extLst>
          </c:dPt>
          <c:dPt>
            <c:idx val="1"/>
            <c:bubble3D val="0"/>
            <c:spPr>
              <a:solidFill>
                <a:srgbClr val="A9D08E"/>
              </a:solidFill>
              <a:ln w="19050">
                <a:solidFill>
                  <a:schemeClr val="lt1"/>
                </a:solidFill>
              </a:ln>
              <a:effectLst/>
            </c:spPr>
            <c:extLst>
              <c:ext xmlns:c16="http://schemas.microsoft.com/office/drawing/2014/chart" uri="{C3380CC4-5D6E-409C-BE32-E72D297353CC}">
                <c16:uniqueId val="{00000003-6C12-4F7D-8117-BF0171D125B0}"/>
              </c:ext>
            </c:extLst>
          </c:dPt>
          <c:dPt>
            <c:idx val="2"/>
            <c:bubble3D val="0"/>
            <c:spPr>
              <a:solidFill>
                <a:srgbClr val="D9E1F2"/>
              </a:solidFill>
              <a:ln w="19050">
                <a:solidFill>
                  <a:schemeClr val="lt1"/>
                </a:solidFill>
              </a:ln>
              <a:effectLst/>
            </c:spPr>
            <c:extLst>
              <c:ext xmlns:c16="http://schemas.microsoft.com/office/drawing/2014/chart" uri="{C3380CC4-5D6E-409C-BE32-E72D297353CC}">
                <c16:uniqueId val="{00000004-6C12-4F7D-8117-BF0171D125B0}"/>
              </c:ext>
            </c:extLst>
          </c:dPt>
          <c:dPt>
            <c:idx val="3"/>
            <c:bubble3D val="0"/>
            <c:spPr>
              <a:solidFill>
                <a:srgbClr val="F4B084"/>
              </a:solidFill>
              <a:ln w="19050">
                <a:solidFill>
                  <a:schemeClr val="lt1"/>
                </a:solidFill>
              </a:ln>
              <a:effectLst/>
            </c:spPr>
            <c:extLst>
              <c:ext xmlns:c16="http://schemas.microsoft.com/office/drawing/2014/chart" uri="{C3380CC4-5D6E-409C-BE32-E72D297353CC}">
                <c16:uniqueId val="{00000005-6C12-4F7D-8117-BF0171D125B0}"/>
              </c:ext>
            </c:extLst>
          </c:dPt>
          <c:dPt>
            <c:idx val="4"/>
            <c:bubble3D val="0"/>
            <c:spPr>
              <a:solidFill>
                <a:srgbClr val="D9D9D9"/>
              </a:solidFill>
              <a:ln w="19050">
                <a:solidFill>
                  <a:schemeClr val="lt1"/>
                </a:solidFill>
              </a:ln>
              <a:effectLst/>
            </c:spPr>
            <c:extLst>
              <c:ext xmlns:c16="http://schemas.microsoft.com/office/drawing/2014/chart" uri="{C3380CC4-5D6E-409C-BE32-E72D297353CC}">
                <c16:uniqueId val="{00000006-6C12-4F7D-8117-BF0171D125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Schulwege!$C$93:$C$97</c:f>
              <c:strCache>
                <c:ptCount val="5"/>
                <c:pt idx="0">
                  <c:v>zu Fuß</c:v>
                </c:pt>
                <c:pt idx="1">
                  <c:v>Fahrrad</c:v>
                </c:pt>
                <c:pt idx="2">
                  <c:v>Bus und ÖPNV</c:v>
                </c:pt>
                <c:pt idx="3">
                  <c:v>Auto</c:v>
                </c:pt>
                <c:pt idx="4">
                  <c:v>Sonstige</c:v>
                </c:pt>
              </c:strCache>
            </c:strRef>
          </c:cat>
          <c:val>
            <c:numRef>
              <c:f>Schulwege!$H$93:$H$97</c:f>
              <c:numCache>
                <c:formatCode>0.0%</c:formatCode>
                <c:ptCount val="5"/>
                <c:pt idx="0">
                  <c:v>0</c:v>
                </c:pt>
                <c:pt idx="1">
                  <c:v>0.55555555555555558</c:v>
                </c:pt>
                <c:pt idx="2">
                  <c:v>0.33333333333333331</c:v>
                </c:pt>
                <c:pt idx="3">
                  <c:v>0.1111111111111111</c:v>
                </c:pt>
                <c:pt idx="4">
                  <c:v>0</c:v>
                </c:pt>
              </c:numCache>
            </c:numRef>
          </c:val>
          <c:extLst>
            <c:ext xmlns:c16="http://schemas.microsoft.com/office/drawing/2014/chart" uri="{C3380CC4-5D6E-409C-BE32-E72D297353CC}">
              <c16:uniqueId val="{00000000-6C12-4F7D-8117-BF0171D125B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9724688859570185"/>
          <c:y val="0.44408235877941216"/>
          <c:w val="0.38315570053315273"/>
          <c:h val="0.446517916498909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8.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18" Type="http://schemas.openxmlformats.org/officeDocument/2006/relationships/chart" Target="../charts/chart39.xml"/><Relationship Id="rId3" Type="http://schemas.openxmlformats.org/officeDocument/2006/relationships/chart" Target="../charts/chart24.xml"/><Relationship Id="rId21" Type="http://schemas.openxmlformats.org/officeDocument/2006/relationships/chart" Target="../charts/chart42.xml"/><Relationship Id="rId7" Type="http://schemas.openxmlformats.org/officeDocument/2006/relationships/chart" Target="../charts/chart28.xml"/><Relationship Id="rId12" Type="http://schemas.openxmlformats.org/officeDocument/2006/relationships/chart" Target="../charts/chart33.xml"/><Relationship Id="rId17" Type="http://schemas.openxmlformats.org/officeDocument/2006/relationships/chart" Target="../charts/chart38.xml"/><Relationship Id="rId2" Type="http://schemas.openxmlformats.org/officeDocument/2006/relationships/chart" Target="../charts/chart23.xml"/><Relationship Id="rId16" Type="http://schemas.openxmlformats.org/officeDocument/2006/relationships/chart" Target="../charts/chart37.xml"/><Relationship Id="rId20" Type="http://schemas.openxmlformats.org/officeDocument/2006/relationships/chart" Target="../charts/chart41.xml"/><Relationship Id="rId1" Type="http://schemas.openxmlformats.org/officeDocument/2006/relationships/image" Target="../media/image32.png"/><Relationship Id="rId6" Type="http://schemas.openxmlformats.org/officeDocument/2006/relationships/chart" Target="../charts/chart27.xml"/><Relationship Id="rId11" Type="http://schemas.openxmlformats.org/officeDocument/2006/relationships/chart" Target="../charts/chart32.xml"/><Relationship Id="rId24" Type="http://schemas.openxmlformats.org/officeDocument/2006/relationships/image" Target="../media/image34.svg"/><Relationship Id="rId5" Type="http://schemas.openxmlformats.org/officeDocument/2006/relationships/chart" Target="../charts/chart26.xml"/><Relationship Id="rId15" Type="http://schemas.openxmlformats.org/officeDocument/2006/relationships/chart" Target="../charts/chart36.xml"/><Relationship Id="rId23" Type="http://schemas.openxmlformats.org/officeDocument/2006/relationships/image" Target="../media/image33.png"/><Relationship Id="rId10" Type="http://schemas.openxmlformats.org/officeDocument/2006/relationships/chart" Target="../charts/chart31.xml"/><Relationship Id="rId19" Type="http://schemas.openxmlformats.org/officeDocument/2006/relationships/chart" Target="../charts/chart40.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 Id="rId22"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37.png"/><Relationship Id="rId4"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48.svg"/><Relationship Id="rId3" Type="http://schemas.openxmlformats.org/officeDocument/2006/relationships/image" Target="../media/image40.svg"/><Relationship Id="rId7" Type="http://schemas.openxmlformats.org/officeDocument/2006/relationships/image" Target="../media/image44.svg"/><Relationship Id="rId12" Type="http://schemas.openxmlformats.org/officeDocument/2006/relationships/image" Target="../media/image42.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0.png"/><Relationship Id="rId11" Type="http://schemas.openxmlformats.org/officeDocument/2006/relationships/image" Target="../media/image46.svg"/><Relationship Id="rId5" Type="http://schemas.openxmlformats.org/officeDocument/2006/relationships/image" Target="../media/image42.svg"/><Relationship Id="rId15" Type="http://schemas.openxmlformats.org/officeDocument/2006/relationships/image" Target="../media/image50.svg"/><Relationship Id="rId10" Type="http://schemas.openxmlformats.org/officeDocument/2006/relationships/image" Target="../media/image41.png"/><Relationship Id="rId4" Type="http://schemas.openxmlformats.org/officeDocument/2006/relationships/image" Target="../media/image39.png"/><Relationship Id="rId9" Type="http://schemas.openxmlformats.org/officeDocument/2006/relationships/image" Target="../media/image34.svg"/><Relationship Id="rId14" Type="http://schemas.openxmlformats.org/officeDocument/2006/relationships/image" Target="../media/image4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1.png"/><Relationship Id="rId1" Type="http://schemas.openxmlformats.org/officeDocument/2006/relationships/chart" Target="../charts/chart45.xml"/><Relationship Id="rId5" Type="http://schemas.openxmlformats.org/officeDocument/2006/relationships/chart" Target="../charts/chart48.xml"/><Relationship Id="rId4" Type="http://schemas.openxmlformats.org/officeDocument/2006/relationships/chart" Target="../charts/chart4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3.xml"/><Relationship Id="rId1" Type="http://schemas.openxmlformats.org/officeDocument/2006/relationships/image" Target="../media/image17.png"/><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image" Target="../media/image26.jpeg"/><Relationship Id="rId7" Type="http://schemas.openxmlformats.org/officeDocument/2006/relationships/image" Target="../media/image30.jpeg"/><Relationship Id="rId12" Type="http://schemas.openxmlformats.org/officeDocument/2006/relationships/image" Target="../media/image31.jpeg"/><Relationship Id="rId17" Type="http://schemas.openxmlformats.org/officeDocument/2006/relationships/chart" Target="../charts/chart18.xml"/><Relationship Id="rId2" Type="http://schemas.openxmlformats.org/officeDocument/2006/relationships/chart" Target="../charts/chart7.xml"/><Relationship Id="rId16" Type="http://schemas.openxmlformats.org/officeDocument/2006/relationships/chart" Target="../charts/chart17.xml"/><Relationship Id="rId1" Type="http://schemas.openxmlformats.org/officeDocument/2006/relationships/chart" Target="../charts/chart6.xml"/><Relationship Id="rId6" Type="http://schemas.openxmlformats.org/officeDocument/2006/relationships/image" Target="../media/image29.jpeg"/><Relationship Id="rId11" Type="http://schemas.openxmlformats.org/officeDocument/2006/relationships/chart" Target="../charts/chart13.xml"/><Relationship Id="rId5" Type="http://schemas.openxmlformats.org/officeDocument/2006/relationships/chart" Target="../charts/chart9.xml"/><Relationship Id="rId15" Type="http://schemas.openxmlformats.org/officeDocument/2006/relationships/chart" Target="../charts/chart16.xml"/><Relationship Id="rId10" Type="http://schemas.openxmlformats.org/officeDocument/2006/relationships/chart" Target="../charts/chart12.xml"/><Relationship Id="rId4" Type="http://schemas.openxmlformats.org/officeDocument/2006/relationships/chart" Target="../charts/chart8.xml"/><Relationship Id="rId9" Type="http://schemas.openxmlformats.org/officeDocument/2006/relationships/chart" Target="../charts/chart11.xml"/><Relationship Id="rId1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1" Type="http://schemas.openxmlformats.org/officeDocument/2006/relationships/image" Target="../media/image27.jpg"/></Relationships>
</file>

<file path=xl/drawings/drawing1.xml><?xml version="1.0" encoding="utf-8"?>
<xdr:wsDr xmlns:xdr="http://schemas.openxmlformats.org/drawingml/2006/spreadsheetDrawing" xmlns:a="http://schemas.openxmlformats.org/drawingml/2006/main">
  <xdr:twoCellAnchor editAs="oneCell">
    <xdr:from>
      <xdr:col>2</xdr:col>
      <xdr:colOff>117965</xdr:colOff>
      <xdr:row>0</xdr:row>
      <xdr:rowOff>30480</xdr:rowOff>
    </xdr:from>
    <xdr:to>
      <xdr:col>3</xdr:col>
      <xdr:colOff>1044441</xdr:colOff>
      <xdr:row>3</xdr:row>
      <xdr:rowOff>252300</xdr:rowOff>
    </xdr:to>
    <xdr:pic>
      <xdr:nvPicPr>
        <xdr:cNvPr id="2" name="Picture 1">
          <a:extLst>
            <a:ext uri="{FF2B5EF4-FFF2-40B4-BE49-F238E27FC236}">
              <a16:creationId xmlns:a16="http://schemas.microsoft.com/office/drawing/2014/main" id="{1B3763AE-F72F-487D-90BC-E3B6950B19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0885" y="30480"/>
          <a:ext cx="1063636" cy="900000"/>
        </a:xfrm>
        <a:prstGeom prst="rect">
          <a:avLst/>
        </a:prstGeom>
      </xdr:spPr>
    </xdr:pic>
    <xdr:clientData/>
  </xdr:twoCellAnchor>
  <xdr:twoCellAnchor editAs="oneCell">
    <xdr:from>
      <xdr:col>9</xdr:col>
      <xdr:colOff>210920</xdr:colOff>
      <xdr:row>47</xdr:row>
      <xdr:rowOff>181222</xdr:rowOff>
    </xdr:from>
    <xdr:to>
      <xdr:col>12</xdr:col>
      <xdr:colOff>79513</xdr:colOff>
      <xdr:row>51</xdr:row>
      <xdr:rowOff>202093</xdr:rowOff>
    </xdr:to>
    <xdr:pic>
      <xdr:nvPicPr>
        <xdr:cNvPr id="4" name="Picture 3">
          <a:extLst>
            <a:ext uri="{FF2B5EF4-FFF2-40B4-BE49-F238E27FC236}">
              <a16:creationId xmlns:a16="http://schemas.microsoft.com/office/drawing/2014/main" id="{C9A7BBA8-D9E3-689C-1761-42166E5972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399146" y="8980665"/>
          <a:ext cx="1299828" cy="1120802"/>
        </a:xfrm>
        <a:prstGeom prst="rect">
          <a:avLst/>
        </a:prstGeom>
      </xdr:spPr>
    </xdr:pic>
    <xdr:clientData/>
  </xdr:twoCellAnchor>
  <xdr:twoCellAnchor editAs="oneCell">
    <xdr:from>
      <xdr:col>9</xdr:col>
      <xdr:colOff>202372</xdr:colOff>
      <xdr:row>55</xdr:row>
      <xdr:rowOff>14423</xdr:rowOff>
    </xdr:from>
    <xdr:to>
      <xdr:col>12</xdr:col>
      <xdr:colOff>67983</xdr:colOff>
      <xdr:row>57</xdr:row>
      <xdr:rowOff>125667</xdr:rowOff>
    </xdr:to>
    <xdr:pic>
      <xdr:nvPicPr>
        <xdr:cNvPr id="6" name="Picture 5">
          <a:extLst>
            <a:ext uri="{FF2B5EF4-FFF2-40B4-BE49-F238E27FC236}">
              <a16:creationId xmlns:a16="http://schemas.microsoft.com/office/drawing/2014/main" id="{8D4E2B36-1210-DAB3-6E79-8BA2D2A8E8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5401557" y="9439777"/>
          <a:ext cx="1307549" cy="474659"/>
        </a:xfrm>
        <a:prstGeom prst="rect">
          <a:avLst/>
        </a:prstGeom>
      </xdr:spPr>
    </xdr:pic>
    <xdr:clientData/>
  </xdr:twoCellAnchor>
  <xdr:twoCellAnchor editAs="oneCell">
    <xdr:from>
      <xdr:col>3</xdr:col>
      <xdr:colOff>1406332</xdr:colOff>
      <xdr:row>55</xdr:row>
      <xdr:rowOff>8743</xdr:rowOff>
    </xdr:from>
    <xdr:to>
      <xdr:col>5</xdr:col>
      <xdr:colOff>229772</xdr:colOff>
      <xdr:row>57</xdr:row>
      <xdr:rowOff>174774</xdr:rowOff>
    </xdr:to>
    <xdr:pic>
      <xdr:nvPicPr>
        <xdr:cNvPr id="8" name="Picture 7">
          <a:extLst>
            <a:ext uri="{FF2B5EF4-FFF2-40B4-BE49-F238E27FC236}">
              <a16:creationId xmlns:a16="http://schemas.microsoft.com/office/drawing/2014/main" id="{664E18C1-5B62-F488-AEBA-758BFC52914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045240" y="9434097"/>
          <a:ext cx="1402517" cy="529446"/>
        </a:xfrm>
        <a:prstGeom prst="rect">
          <a:avLst/>
        </a:prstGeom>
      </xdr:spPr>
    </xdr:pic>
    <xdr:clientData/>
  </xdr:twoCellAnchor>
  <xdr:twoCellAnchor editAs="oneCell">
    <xdr:from>
      <xdr:col>2</xdr:col>
      <xdr:colOff>109175</xdr:colOff>
      <xdr:row>54</xdr:row>
      <xdr:rowOff>165430</xdr:rowOff>
    </xdr:from>
    <xdr:to>
      <xdr:col>3</xdr:col>
      <xdr:colOff>1280150</xdr:colOff>
      <xdr:row>57</xdr:row>
      <xdr:rowOff>132920</xdr:rowOff>
    </xdr:to>
    <xdr:pic>
      <xdr:nvPicPr>
        <xdr:cNvPr id="9" name="Picture 8">
          <a:extLst>
            <a:ext uri="{FF2B5EF4-FFF2-40B4-BE49-F238E27FC236}">
              <a16:creationId xmlns:a16="http://schemas.microsoft.com/office/drawing/2014/main" id="{B0848C13-A6F7-1536-E636-376F5076D2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13267" y="9409076"/>
          <a:ext cx="1305791" cy="512614"/>
        </a:xfrm>
        <a:prstGeom prst="rect">
          <a:avLst/>
        </a:prstGeom>
      </xdr:spPr>
    </xdr:pic>
    <xdr:clientData/>
  </xdr:twoCellAnchor>
  <xdr:twoCellAnchor editAs="oneCell">
    <xdr:from>
      <xdr:col>6</xdr:col>
      <xdr:colOff>11872</xdr:colOff>
      <xdr:row>53</xdr:row>
      <xdr:rowOff>93997</xdr:rowOff>
    </xdr:from>
    <xdr:to>
      <xdr:col>8</xdr:col>
      <xdr:colOff>297170</xdr:colOff>
      <xdr:row>57</xdr:row>
      <xdr:rowOff>223111</xdr:rowOff>
    </xdr:to>
    <xdr:pic>
      <xdr:nvPicPr>
        <xdr:cNvPr id="10" name="Picture 9">
          <a:extLst>
            <a:ext uri="{FF2B5EF4-FFF2-40B4-BE49-F238E27FC236}">
              <a16:creationId xmlns:a16="http://schemas.microsoft.com/office/drawing/2014/main" id="{271858EE-7226-1D38-C37E-A3F56906661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3710503" y="9155935"/>
          <a:ext cx="1305205" cy="855945"/>
        </a:xfrm>
        <a:prstGeom prst="rect">
          <a:avLst/>
        </a:prstGeom>
      </xdr:spPr>
    </xdr:pic>
    <xdr:clientData/>
  </xdr:twoCellAnchor>
  <xdr:twoCellAnchor editAs="oneCell">
    <xdr:from>
      <xdr:col>9</xdr:col>
      <xdr:colOff>297592</xdr:colOff>
      <xdr:row>61</xdr:row>
      <xdr:rowOff>150743</xdr:rowOff>
    </xdr:from>
    <xdr:to>
      <xdr:col>11</xdr:col>
      <xdr:colOff>307864</xdr:colOff>
      <xdr:row>65</xdr:row>
      <xdr:rowOff>90777</xdr:rowOff>
    </xdr:to>
    <xdr:pic>
      <xdr:nvPicPr>
        <xdr:cNvPr id="16" name="Picture 15">
          <a:extLst>
            <a:ext uri="{FF2B5EF4-FFF2-40B4-BE49-F238E27FC236}">
              <a16:creationId xmlns:a16="http://schemas.microsoft.com/office/drawing/2014/main" id="{9DA5F5A7-579C-BFD0-7405-ABF92AABA3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494432" y="11931263"/>
          <a:ext cx="970392" cy="968734"/>
        </a:xfrm>
        <a:prstGeom prst="rect">
          <a:avLst/>
        </a:prstGeom>
      </xdr:spPr>
    </xdr:pic>
    <xdr:clientData/>
  </xdr:twoCellAnchor>
  <xdr:twoCellAnchor editAs="oneCell">
    <xdr:from>
      <xdr:col>10</xdr:col>
      <xdr:colOff>11286</xdr:colOff>
      <xdr:row>36</xdr:row>
      <xdr:rowOff>80014</xdr:rowOff>
    </xdr:from>
    <xdr:to>
      <xdr:col>11</xdr:col>
      <xdr:colOff>251226</xdr:colOff>
      <xdr:row>39</xdr:row>
      <xdr:rowOff>130464</xdr:rowOff>
    </xdr:to>
    <xdr:pic>
      <xdr:nvPicPr>
        <xdr:cNvPr id="17" name="Picture 16">
          <a:extLst>
            <a:ext uri="{FF2B5EF4-FFF2-40B4-BE49-F238E27FC236}">
              <a16:creationId xmlns:a16="http://schemas.microsoft.com/office/drawing/2014/main" id="{883A386D-FC06-D191-6954-9638659FF9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676590" y="7156675"/>
          <a:ext cx="717019" cy="607042"/>
        </a:xfrm>
        <a:prstGeom prst="rect">
          <a:avLst/>
        </a:prstGeom>
      </xdr:spPr>
    </xdr:pic>
    <xdr:clientData/>
  </xdr:twoCellAnchor>
  <xdr:twoCellAnchor editAs="oneCell">
    <xdr:from>
      <xdr:col>10</xdr:col>
      <xdr:colOff>11286</xdr:colOff>
      <xdr:row>23</xdr:row>
      <xdr:rowOff>18342</xdr:rowOff>
    </xdr:from>
    <xdr:to>
      <xdr:col>11</xdr:col>
      <xdr:colOff>251226</xdr:colOff>
      <xdr:row>26</xdr:row>
      <xdr:rowOff>66774</xdr:rowOff>
    </xdr:to>
    <xdr:pic>
      <xdr:nvPicPr>
        <xdr:cNvPr id="18" name="Picture 17">
          <a:extLst>
            <a:ext uri="{FF2B5EF4-FFF2-40B4-BE49-F238E27FC236}">
              <a16:creationId xmlns:a16="http://schemas.microsoft.com/office/drawing/2014/main" id="{A608FC5A-7B3A-F28A-3D75-20AF02E791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5676590" y="4577090"/>
          <a:ext cx="717019" cy="605024"/>
        </a:xfrm>
        <a:prstGeom prst="rect">
          <a:avLst/>
        </a:prstGeom>
      </xdr:spPr>
    </xdr:pic>
    <xdr:clientData/>
  </xdr:twoCellAnchor>
  <xdr:twoCellAnchor editAs="oneCell">
    <xdr:from>
      <xdr:col>10</xdr:col>
      <xdr:colOff>11286</xdr:colOff>
      <xdr:row>16</xdr:row>
      <xdr:rowOff>173084</xdr:rowOff>
    </xdr:from>
    <xdr:to>
      <xdr:col>11</xdr:col>
      <xdr:colOff>251226</xdr:colOff>
      <xdr:row>20</xdr:row>
      <xdr:rowOff>26046</xdr:rowOff>
    </xdr:to>
    <xdr:pic>
      <xdr:nvPicPr>
        <xdr:cNvPr id="19" name="Picture 18">
          <a:extLst>
            <a:ext uri="{FF2B5EF4-FFF2-40B4-BE49-F238E27FC236}">
              <a16:creationId xmlns:a16="http://schemas.microsoft.com/office/drawing/2014/main" id="{7E6DE8BD-5BE1-E3F7-17FB-68DEFDD7C25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676590" y="3373484"/>
          <a:ext cx="717019" cy="601710"/>
        </a:xfrm>
        <a:prstGeom prst="rect">
          <a:avLst/>
        </a:prstGeom>
      </xdr:spPr>
    </xdr:pic>
    <xdr:clientData/>
  </xdr:twoCellAnchor>
  <xdr:twoCellAnchor editAs="oneCell">
    <xdr:from>
      <xdr:col>9</xdr:col>
      <xdr:colOff>461861</xdr:colOff>
      <xdr:row>11</xdr:row>
      <xdr:rowOff>4970</xdr:rowOff>
    </xdr:from>
    <xdr:to>
      <xdr:col>11</xdr:col>
      <xdr:colOff>224723</xdr:colOff>
      <xdr:row>14</xdr:row>
      <xdr:rowOff>64568</xdr:rowOff>
    </xdr:to>
    <xdr:pic>
      <xdr:nvPicPr>
        <xdr:cNvPr id="20" name="Picture 19">
          <a:extLst>
            <a:ext uri="{FF2B5EF4-FFF2-40B4-BE49-F238E27FC236}">
              <a16:creationId xmlns:a16="http://schemas.microsoft.com/office/drawing/2014/main" id="{F73F1CC8-8ABA-A681-4EF7-0F86DD6326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650087" y="2416866"/>
          <a:ext cx="717019" cy="616189"/>
        </a:xfrm>
        <a:prstGeom prst="rect">
          <a:avLst/>
        </a:prstGeom>
      </xdr:spPr>
    </xdr:pic>
    <xdr:clientData/>
  </xdr:twoCellAnchor>
  <xdr:twoCellAnchor editAs="oneCell">
    <xdr:from>
      <xdr:col>10</xdr:col>
      <xdr:colOff>46455</xdr:colOff>
      <xdr:row>29</xdr:row>
      <xdr:rowOff>121884</xdr:rowOff>
    </xdr:from>
    <xdr:to>
      <xdr:col>11</xdr:col>
      <xdr:colOff>286395</xdr:colOff>
      <xdr:row>32</xdr:row>
      <xdr:rowOff>161886</xdr:rowOff>
    </xdr:to>
    <xdr:pic>
      <xdr:nvPicPr>
        <xdr:cNvPr id="21" name="Picture 20">
          <a:extLst>
            <a:ext uri="{FF2B5EF4-FFF2-40B4-BE49-F238E27FC236}">
              <a16:creationId xmlns:a16="http://schemas.microsoft.com/office/drawing/2014/main" id="{3DC98ED4-2E63-D175-BB63-F843CC88EBC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726286" y="5965838"/>
          <a:ext cx="720586" cy="596848"/>
        </a:xfrm>
        <a:prstGeom prst="rect">
          <a:avLst/>
        </a:prstGeom>
      </xdr:spPr>
    </xdr:pic>
    <xdr:clientData/>
  </xdr:twoCellAnchor>
  <xdr:twoCellAnchor editAs="oneCell">
    <xdr:from>
      <xdr:col>3</xdr:col>
      <xdr:colOff>13253</xdr:colOff>
      <xdr:row>70</xdr:row>
      <xdr:rowOff>39757</xdr:rowOff>
    </xdr:from>
    <xdr:to>
      <xdr:col>4</xdr:col>
      <xdr:colOff>17228</xdr:colOff>
      <xdr:row>70</xdr:row>
      <xdr:rowOff>1326211</xdr:rowOff>
    </xdr:to>
    <xdr:pic>
      <xdr:nvPicPr>
        <xdr:cNvPr id="12" name="Picture 11">
          <a:extLst>
            <a:ext uri="{FF2B5EF4-FFF2-40B4-BE49-F238E27FC236}">
              <a16:creationId xmlns:a16="http://schemas.microsoft.com/office/drawing/2014/main" id="{34E588A7-E398-4C05-8B02-C7EABC8780E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55983" y="13318435"/>
          <a:ext cx="2309854" cy="128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28040</xdr:colOff>
      <xdr:row>57</xdr:row>
      <xdr:rowOff>189836</xdr:rowOff>
    </xdr:from>
    <xdr:to>
      <xdr:col>6</xdr:col>
      <xdr:colOff>161497</xdr:colOff>
      <xdr:row>61</xdr:row>
      <xdr:rowOff>129539</xdr:rowOff>
    </xdr:to>
    <xdr:pic>
      <xdr:nvPicPr>
        <xdr:cNvPr id="3" name="Picture 2">
          <a:extLst>
            <a:ext uri="{FF2B5EF4-FFF2-40B4-BE49-F238E27FC236}">
              <a16:creationId xmlns:a16="http://schemas.microsoft.com/office/drawing/2014/main" id="{59437258-DD6F-765B-808A-7037343AC3B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668120" y="11810336"/>
          <a:ext cx="3189077" cy="179136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0.83876</cdr:x>
      <cdr:y>0.13379</cdr:y>
    </cdr:from>
    <cdr:to>
      <cdr:x>0.91284</cdr:x>
      <cdr:y>0.22651</cdr:y>
    </cdr:to>
    <cdr:pic>
      <cdr:nvPicPr>
        <cdr:cNvPr id="2" name="Picture 1">
          <a:extLst xmlns:a="http://schemas.openxmlformats.org/drawingml/2006/main">
            <a:ext uri="{FF2B5EF4-FFF2-40B4-BE49-F238E27FC236}">
              <a16:creationId xmlns:a16="http://schemas.microsoft.com/office/drawing/2014/main" id="{A8101DCA-772A-42DA-AA5B-CFF7872BCC6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2660105" y="307340"/>
          <a:ext cx="234950" cy="213025"/>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0.66649</cdr:x>
      <cdr:y>0.21747</cdr:y>
    </cdr:from>
    <cdr:to>
      <cdr:x>0.8752</cdr:x>
      <cdr:y>0.29476</cdr:y>
    </cdr:to>
    <cdr:pic>
      <cdr:nvPicPr>
        <cdr:cNvPr id="2" name="Picture 1">
          <a:extLst xmlns:a="http://schemas.openxmlformats.org/drawingml/2006/main">
            <a:ext uri="{FF2B5EF4-FFF2-40B4-BE49-F238E27FC236}">
              <a16:creationId xmlns:a16="http://schemas.microsoft.com/office/drawing/2014/main" id="{A8101DCA-772A-42DA-AA5B-CFF7872BCC6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2103653" y="499591"/>
          <a:ext cx="658763" cy="177551"/>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0.83876</cdr:x>
      <cdr:y>0.13379</cdr:y>
    </cdr:from>
    <cdr:to>
      <cdr:x>0.91284</cdr:x>
      <cdr:y>0.22651</cdr:y>
    </cdr:to>
    <cdr:pic>
      <cdr:nvPicPr>
        <cdr:cNvPr id="2" name="Picture 1">
          <a:extLst xmlns:a="http://schemas.openxmlformats.org/drawingml/2006/main">
            <a:ext uri="{FF2B5EF4-FFF2-40B4-BE49-F238E27FC236}">
              <a16:creationId xmlns:a16="http://schemas.microsoft.com/office/drawing/2014/main" id="{A8101DCA-772A-42DA-AA5B-CFF7872BCC6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2660105" y="307340"/>
          <a:ext cx="234950" cy="213025"/>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3</xdr:col>
      <xdr:colOff>254111</xdr:colOff>
      <xdr:row>69</xdr:row>
      <xdr:rowOff>116287</xdr:rowOff>
    </xdr:from>
    <xdr:to>
      <xdr:col>7</xdr:col>
      <xdr:colOff>830580</xdr:colOff>
      <xdr:row>82</xdr:row>
      <xdr:rowOff>169958</xdr:rowOff>
    </xdr:to>
    <xdr:graphicFrame macro="">
      <xdr:nvGraphicFramePr>
        <xdr:cNvPr id="7" name="Chart 6">
          <a:extLst>
            <a:ext uri="{FF2B5EF4-FFF2-40B4-BE49-F238E27FC236}">
              <a16:creationId xmlns:a16="http://schemas.microsoft.com/office/drawing/2014/main" id="{DE4349BF-6C92-4612-9674-654B8FFFB7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25511</xdr:colOff>
      <xdr:row>83</xdr:row>
      <xdr:rowOff>136497</xdr:rowOff>
    </xdr:from>
    <xdr:to>
      <xdr:col>16</xdr:col>
      <xdr:colOff>582433</xdr:colOff>
      <xdr:row>97</xdr:row>
      <xdr:rowOff>86801</xdr:rowOff>
    </xdr:to>
    <xdr:graphicFrame macro="">
      <xdr:nvGraphicFramePr>
        <xdr:cNvPr id="8" name="Chart 7">
          <a:extLst>
            <a:ext uri="{FF2B5EF4-FFF2-40B4-BE49-F238E27FC236}">
              <a16:creationId xmlns:a16="http://schemas.microsoft.com/office/drawing/2014/main" id="{296F9106-1612-446B-BFCA-4B1D0892E2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45720</xdr:rowOff>
    </xdr:from>
    <xdr:to>
      <xdr:col>1</xdr:col>
      <xdr:colOff>1045946</xdr:colOff>
      <xdr:row>3</xdr:row>
      <xdr:rowOff>193440</xdr:rowOff>
    </xdr:to>
    <xdr:pic>
      <xdr:nvPicPr>
        <xdr:cNvPr id="2" name="Picture 1">
          <a:extLst>
            <a:ext uri="{FF2B5EF4-FFF2-40B4-BE49-F238E27FC236}">
              <a16:creationId xmlns:a16="http://schemas.microsoft.com/office/drawing/2014/main" id="{4D7BD3CB-ABBB-4934-B9B6-B1EABFA8B08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9600" y="45720"/>
          <a:ext cx="1045946" cy="864000"/>
        </a:xfrm>
        <a:prstGeom prst="rect">
          <a:avLst/>
        </a:prstGeom>
      </xdr:spPr>
    </xdr:pic>
    <xdr:clientData/>
  </xdr:twoCellAnchor>
  <xdr:twoCellAnchor>
    <xdr:from>
      <xdr:col>3</xdr:col>
      <xdr:colOff>254111</xdr:colOff>
      <xdr:row>83</xdr:row>
      <xdr:rowOff>131527</xdr:rowOff>
    </xdr:from>
    <xdr:to>
      <xdr:col>7</xdr:col>
      <xdr:colOff>830580</xdr:colOff>
      <xdr:row>97</xdr:row>
      <xdr:rowOff>2318</xdr:rowOff>
    </xdr:to>
    <xdr:graphicFrame macro="">
      <xdr:nvGraphicFramePr>
        <xdr:cNvPr id="3" name="Chart 2">
          <a:extLst>
            <a:ext uri="{FF2B5EF4-FFF2-40B4-BE49-F238E27FC236}">
              <a16:creationId xmlns:a16="http://schemas.microsoft.com/office/drawing/2014/main" id="{FD68D03A-702E-11EF-5357-4EEDC5000D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488347</xdr:colOff>
      <xdr:row>74</xdr:row>
      <xdr:rowOff>143457</xdr:rowOff>
    </xdr:from>
    <xdr:to>
      <xdr:col>4</xdr:col>
      <xdr:colOff>182880</xdr:colOff>
      <xdr:row>88</xdr:row>
      <xdr:rowOff>0</xdr:rowOff>
    </xdr:to>
    <xdr:graphicFrame macro="">
      <xdr:nvGraphicFramePr>
        <xdr:cNvPr id="6" name="Chart 5">
          <a:extLst>
            <a:ext uri="{FF2B5EF4-FFF2-40B4-BE49-F238E27FC236}">
              <a16:creationId xmlns:a16="http://schemas.microsoft.com/office/drawing/2014/main" id="{9E9B2983-34FC-4F52-A9F9-AB6A4E461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228600</xdr:colOff>
      <xdr:row>0</xdr:row>
      <xdr:rowOff>45720</xdr:rowOff>
    </xdr:from>
    <xdr:to>
      <xdr:col>1</xdr:col>
      <xdr:colOff>1274546</xdr:colOff>
      <xdr:row>3</xdr:row>
      <xdr:rowOff>193440</xdr:rowOff>
    </xdr:to>
    <xdr:pic>
      <xdr:nvPicPr>
        <xdr:cNvPr id="2" name="Picture 1">
          <a:extLst>
            <a:ext uri="{FF2B5EF4-FFF2-40B4-BE49-F238E27FC236}">
              <a16:creationId xmlns:a16="http://schemas.microsoft.com/office/drawing/2014/main" id="{324C40F6-8C5A-4CDB-AF02-554FCB932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38200" y="45720"/>
          <a:ext cx="1045946" cy="864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53340</xdr:colOff>
      <xdr:row>0</xdr:row>
      <xdr:rowOff>60959</xdr:rowOff>
    </xdr:from>
    <xdr:to>
      <xdr:col>2</xdr:col>
      <xdr:colOff>411814</xdr:colOff>
      <xdr:row>3</xdr:row>
      <xdr:rowOff>208679</xdr:rowOff>
    </xdr:to>
    <xdr:pic>
      <xdr:nvPicPr>
        <xdr:cNvPr id="2" name="Picture 1">
          <a:extLst>
            <a:ext uri="{FF2B5EF4-FFF2-40B4-BE49-F238E27FC236}">
              <a16:creationId xmlns:a16="http://schemas.microsoft.com/office/drawing/2014/main" id="{58B60775-5D08-46AB-A8A6-C25642360E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78180" y="60959"/>
          <a:ext cx="1036654" cy="864000"/>
        </a:xfrm>
        <a:prstGeom prst="rect">
          <a:avLst/>
        </a:prstGeom>
      </xdr:spPr>
    </xdr:pic>
    <xdr:clientData/>
  </xdr:twoCellAnchor>
  <xdr:twoCellAnchor>
    <xdr:from>
      <xdr:col>8</xdr:col>
      <xdr:colOff>233086</xdr:colOff>
      <xdr:row>186</xdr:row>
      <xdr:rowOff>16138</xdr:rowOff>
    </xdr:from>
    <xdr:to>
      <xdr:col>13</xdr:col>
      <xdr:colOff>488576</xdr:colOff>
      <xdr:row>197</xdr:row>
      <xdr:rowOff>17930</xdr:rowOff>
    </xdr:to>
    <xdr:graphicFrame macro="">
      <xdr:nvGraphicFramePr>
        <xdr:cNvPr id="3" name="Chart 2">
          <a:extLst>
            <a:ext uri="{FF2B5EF4-FFF2-40B4-BE49-F238E27FC236}">
              <a16:creationId xmlns:a16="http://schemas.microsoft.com/office/drawing/2014/main" id="{CBD11D02-364F-4214-8E4A-AF608CBD9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233086</xdr:colOff>
      <xdr:row>198</xdr:row>
      <xdr:rowOff>35860</xdr:rowOff>
    </xdr:from>
    <xdr:to>
      <xdr:col>13</xdr:col>
      <xdr:colOff>488576</xdr:colOff>
      <xdr:row>209</xdr:row>
      <xdr:rowOff>134472</xdr:rowOff>
    </xdr:to>
    <xdr:graphicFrame macro="">
      <xdr:nvGraphicFramePr>
        <xdr:cNvPr id="6" name="Chart 5">
          <a:extLst>
            <a:ext uri="{FF2B5EF4-FFF2-40B4-BE49-F238E27FC236}">
              <a16:creationId xmlns:a16="http://schemas.microsoft.com/office/drawing/2014/main" id="{F5216E44-A0B3-4E95-93AE-2E5A0201A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233086</xdr:colOff>
      <xdr:row>224</xdr:row>
      <xdr:rowOff>35860</xdr:rowOff>
    </xdr:from>
    <xdr:to>
      <xdr:col>13</xdr:col>
      <xdr:colOff>488576</xdr:colOff>
      <xdr:row>235</xdr:row>
      <xdr:rowOff>134472</xdr:rowOff>
    </xdr:to>
    <xdr:graphicFrame macro="">
      <xdr:nvGraphicFramePr>
        <xdr:cNvPr id="13" name="Chart 12">
          <a:extLst>
            <a:ext uri="{FF2B5EF4-FFF2-40B4-BE49-F238E27FC236}">
              <a16:creationId xmlns:a16="http://schemas.microsoft.com/office/drawing/2014/main" id="{CB18D5F1-AAC3-418C-B4AF-A9F4800F8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233086</xdr:colOff>
      <xdr:row>237</xdr:row>
      <xdr:rowOff>35860</xdr:rowOff>
    </xdr:from>
    <xdr:to>
      <xdr:col>13</xdr:col>
      <xdr:colOff>488576</xdr:colOff>
      <xdr:row>248</xdr:row>
      <xdr:rowOff>134472</xdr:rowOff>
    </xdr:to>
    <xdr:graphicFrame macro="">
      <xdr:nvGraphicFramePr>
        <xdr:cNvPr id="14" name="Chart 13">
          <a:extLst>
            <a:ext uri="{FF2B5EF4-FFF2-40B4-BE49-F238E27FC236}">
              <a16:creationId xmlns:a16="http://schemas.microsoft.com/office/drawing/2014/main" id="{985C3F40-195D-450B-99AB-38900167A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233086</xdr:colOff>
      <xdr:row>250</xdr:row>
      <xdr:rowOff>35860</xdr:rowOff>
    </xdr:from>
    <xdr:to>
      <xdr:col>13</xdr:col>
      <xdr:colOff>488576</xdr:colOff>
      <xdr:row>261</xdr:row>
      <xdr:rowOff>134472</xdr:rowOff>
    </xdr:to>
    <xdr:graphicFrame macro="">
      <xdr:nvGraphicFramePr>
        <xdr:cNvPr id="15" name="Chart 14">
          <a:extLst>
            <a:ext uri="{FF2B5EF4-FFF2-40B4-BE49-F238E27FC236}">
              <a16:creationId xmlns:a16="http://schemas.microsoft.com/office/drawing/2014/main" id="{E3517B7D-0778-4C1F-895E-67B2D5F78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233086</xdr:colOff>
      <xdr:row>263</xdr:row>
      <xdr:rowOff>35860</xdr:rowOff>
    </xdr:from>
    <xdr:to>
      <xdr:col>13</xdr:col>
      <xdr:colOff>488576</xdr:colOff>
      <xdr:row>274</xdr:row>
      <xdr:rowOff>134472</xdr:rowOff>
    </xdr:to>
    <xdr:graphicFrame macro="">
      <xdr:nvGraphicFramePr>
        <xdr:cNvPr id="16" name="Chart 15">
          <a:extLst>
            <a:ext uri="{FF2B5EF4-FFF2-40B4-BE49-F238E27FC236}">
              <a16:creationId xmlns:a16="http://schemas.microsoft.com/office/drawing/2014/main" id="{981B5EEB-3BDE-4D9E-A2D5-B3F08837A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233086</xdr:colOff>
      <xdr:row>211</xdr:row>
      <xdr:rowOff>89648</xdr:rowOff>
    </xdr:from>
    <xdr:to>
      <xdr:col>13</xdr:col>
      <xdr:colOff>488576</xdr:colOff>
      <xdr:row>223</xdr:row>
      <xdr:rowOff>8966</xdr:rowOff>
    </xdr:to>
    <xdr:graphicFrame macro="">
      <xdr:nvGraphicFramePr>
        <xdr:cNvPr id="17" name="Chart 16">
          <a:extLst>
            <a:ext uri="{FF2B5EF4-FFF2-40B4-BE49-F238E27FC236}">
              <a16:creationId xmlns:a16="http://schemas.microsoft.com/office/drawing/2014/main" id="{62A4D34F-74FF-118D-CF13-EA75901DD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233086</xdr:colOff>
      <xdr:row>276</xdr:row>
      <xdr:rowOff>35860</xdr:rowOff>
    </xdr:from>
    <xdr:to>
      <xdr:col>13</xdr:col>
      <xdr:colOff>488576</xdr:colOff>
      <xdr:row>287</xdr:row>
      <xdr:rowOff>134472</xdr:rowOff>
    </xdr:to>
    <xdr:graphicFrame macro="">
      <xdr:nvGraphicFramePr>
        <xdr:cNvPr id="18" name="Chart 17">
          <a:extLst>
            <a:ext uri="{FF2B5EF4-FFF2-40B4-BE49-F238E27FC236}">
              <a16:creationId xmlns:a16="http://schemas.microsoft.com/office/drawing/2014/main" id="{4D1DB9F4-22C1-4651-858F-54EC38AF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233086</xdr:colOff>
      <xdr:row>289</xdr:row>
      <xdr:rowOff>35860</xdr:rowOff>
    </xdr:from>
    <xdr:to>
      <xdr:col>13</xdr:col>
      <xdr:colOff>488576</xdr:colOff>
      <xdr:row>300</xdr:row>
      <xdr:rowOff>134472</xdr:rowOff>
    </xdr:to>
    <xdr:graphicFrame macro="">
      <xdr:nvGraphicFramePr>
        <xdr:cNvPr id="19" name="Chart 18">
          <a:extLst>
            <a:ext uri="{FF2B5EF4-FFF2-40B4-BE49-F238E27FC236}">
              <a16:creationId xmlns:a16="http://schemas.microsoft.com/office/drawing/2014/main" id="{21F5F1EA-BA64-4D1D-AF2F-83991BA50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233086</xdr:colOff>
      <xdr:row>302</xdr:row>
      <xdr:rowOff>35860</xdr:rowOff>
    </xdr:from>
    <xdr:to>
      <xdr:col>13</xdr:col>
      <xdr:colOff>488576</xdr:colOff>
      <xdr:row>313</xdr:row>
      <xdr:rowOff>134472</xdr:rowOff>
    </xdr:to>
    <xdr:graphicFrame macro="">
      <xdr:nvGraphicFramePr>
        <xdr:cNvPr id="20" name="Chart 19">
          <a:extLst>
            <a:ext uri="{FF2B5EF4-FFF2-40B4-BE49-F238E27FC236}">
              <a16:creationId xmlns:a16="http://schemas.microsoft.com/office/drawing/2014/main" id="{86D618D7-9D24-407E-AA0C-D87FF1EDF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233086</xdr:colOff>
      <xdr:row>315</xdr:row>
      <xdr:rowOff>35860</xdr:rowOff>
    </xdr:from>
    <xdr:to>
      <xdr:col>13</xdr:col>
      <xdr:colOff>488576</xdr:colOff>
      <xdr:row>326</xdr:row>
      <xdr:rowOff>134472</xdr:rowOff>
    </xdr:to>
    <xdr:graphicFrame macro="">
      <xdr:nvGraphicFramePr>
        <xdr:cNvPr id="21" name="Chart 20">
          <a:extLst>
            <a:ext uri="{FF2B5EF4-FFF2-40B4-BE49-F238E27FC236}">
              <a16:creationId xmlns:a16="http://schemas.microsoft.com/office/drawing/2014/main" id="{4330136F-07FA-4760-A1A1-593016133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233086</xdr:colOff>
      <xdr:row>328</xdr:row>
      <xdr:rowOff>35860</xdr:rowOff>
    </xdr:from>
    <xdr:to>
      <xdr:col>13</xdr:col>
      <xdr:colOff>488576</xdr:colOff>
      <xdr:row>339</xdr:row>
      <xdr:rowOff>134472</xdr:rowOff>
    </xdr:to>
    <xdr:graphicFrame macro="">
      <xdr:nvGraphicFramePr>
        <xdr:cNvPr id="22" name="Chart 21">
          <a:extLst>
            <a:ext uri="{FF2B5EF4-FFF2-40B4-BE49-F238E27FC236}">
              <a16:creationId xmlns:a16="http://schemas.microsoft.com/office/drawing/2014/main" id="{9913A8ED-284C-4BB7-B033-4605FA4E9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233086</xdr:colOff>
      <xdr:row>341</xdr:row>
      <xdr:rowOff>35860</xdr:rowOff>
    </xdr:from>
    <xdr:to>
      <xdr:col>13</xdr:col>
      <xdr:colOff>488576</xdr:colOff>
      <xdr:row>352</xdr:row>
      <xdr:rowOff>134472</xdr:rowOff>
    </xdr:to>
    <xdr:graphicFrame macro="">
      <xdr:nvGraphicFramePr>
        <xdr:cNvPr id="23" name="Chart 22">
          <a:extLst>
            <a:ext uri="{FF2B5EF4-FFF2-40B4-BE49-F238E27FC236}">
              <a16:creationId xmlns:a16="http://schemas.microsoft.com/office/drawing/2014/main" id="{FFB17ABE-3E7C-4D36-863B-1A28DCB1F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233086</xdr:colOff>
      <xdr:row>393</xdr:row>
      <xdr:rowOff>35860</xdr:rowOff>
    </xdr:from>
    <xdr:to>
      <xdr:col>13</xdr:col>
      <xdr:colOff>488576</xdr:colOff>
      <xdr:row>404</xdr:row>
      <xdr:rowOff>134472</xdr:rowOff>
    </xdr:to>
    <xdr:graphicFrame macro="">
      <xdr:nvGraphicFramePr>
        <xdr:cNvPr id="26" name="Chart 25">
          <a:extLst>
            <a:ext uri="{FF2B5EF4-FFF2-40B4-BE49-F238E27FC236}">
              <a16:creationId xmlns:a16="http://schemas.microsoft.com/office/drawing/2014/main" id="{DC4228FA-AFED-4258-9E3F-6EDBCFE1A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233086</xdr:colOff>
      <xdr:row>354</xdr:row>
      <xdr:rowOff>35860</xdr:rowOff>
    </xdr:from>
    <xdr:to>
      <xdr:col>13</xdr:col>
      <xdr:colOff>488576</xdr:colOff>
      <xdr:row>365</xdr:row>
      <xdr:rowOff>134471</xdr:rowOff>
    </xdr:to>
    <xdr:graphicFrame macro="">
      <xdr:nvGraphicFramePr>
        <xdr:cNvPr id="29" name="Chart 28">
          <a:extLst>
            <a:ext uri="{FF2B5EF4-FFF2-40B4-BE49-F238E27FC236}">
              <a16:creationId xmlns:a16="http://schemas.microsoft.com/office/drawing/2014/main" id="{025184A7-4A32-FBA4-5D1B-908197B79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233086</xdr:colOff>
      <xdr:row>367</xdr:row>
      <xdr:rowOff>116542</xdr:rowOff>
    </xdr:from>
    <xdr:to>
      <xdr:col>13</xdr:col>
      <xdr:colOff>488576</xdr:colOff>
      <xdr:row>380</xdr:row>
      <xdr:rowOff>35859</xdr:rowOff>
    </xdr:to>
    <xdr:graphicFrame macro="">
      <xdr:nvGraphicFramePr>
        <xdr:cNvPr id="30" name="Chart 29">
          <a:extLst>
            <a:ext uri="{FF2B5EF4-FFF2-40B4-BE49-F238E27FC236}">
              <a16:creationId xmlns:a16="http://schemas.microsoft.com/office/drawing/2014/main" id="{9484E9D3-2CE3-FB70-59A0-4834B1D69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233086</xdr:colOff>
      <xdr:row>406</xdr:row>
      <xdr:rowOff>71718</xdr:rowOff>
    </xdr:from>
    <xdr:to>
      <xdr:col>13</xdr:col>
      <xdr:colOff>488576</xdr:colOff>
      <xdr:row>417</xdr:row>
      <xdr:rowOff>170330</xdr:rowOff>
    </xdr:to>
    <xdr:graphicFrame macro="">
      <xdr:nvGraphicFramePr>
        <xdr:cNvPr id="31" name="Chart 30">
          <a:extLst>
            <a:ext uri="{FF2B5EF4-FFF2-40B4-BE49-F238E27FC236}">
              <a16:creationId xmlns:a16="http://schemas.microsoft.com/office/drawing/2014/main" id="{1F58FE48-9B2E-7D3F-1B33-4B00C0B10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233086</xdr:colOff>
      <xdr:row>419</xdr:row>
      <xdr:rowOff>98612</xdr:rowOff>
    </xdr:from>
    <xdr:to>
      <xdr:col>13</xdr:col>
      <xdr:colOff>488576</xdr:colOff>
      <xdr:row>432</xdr:row>
      <xdr:rowOff>17929</xdr:rowOff>
    </xdr:to>
    <xdr:graphicFrame macro="">
      <xdr:nvGraphicFramePr>
        <xdr:cNvPr id="32" name="Chart 31">
          <a:extLst>
            <a:ext uri="{FF2B5EF4-FFF2-40B4-BE49-F238E27FC236}">
              <a16:creationId xmlns:a16="http://schemas.microsoft.com/office/drawing/2014/main" id="{2BBD9E5B-77C0-D0B8-D70C-5D27CF254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259981</xdr:colOff>
      <xdr:row>432</xdr:row>
      <xdr:rowOff>143436</xdr:rowOff>
    </xdr:from>
    <xdr:to>
      <xdr:col>13</xdr:col>
      <xdr:colOff>515471</xdr:colOff>
      <xdr:row>444</xdr:row>
      <xdr:rowOff>62754</xdr:rowOff>
    </xdr:to>
    <xdr:graphicFrame macro="">
      <xdr:nvGraphicFramePr>
        <xdr:cNvPr id="33" name="Chart 32">
          <a:extLst>
            <a:ext uri="{FF2B5EF4-FFF2-40B4-BE49-F238E27FC236}">
              <a16:creationId xmlns:a16="http://schemas.microsoft.com/office/drawing/2014/main" id="{4DF50F80-CF4D-844E-8E16-ACA4C0D76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233086</xdr:colOff>
      <xdr:row>380</xdr:row>
      <xdr:rowOff>116542</xdr:rowOff>
    </xdr:from>
    <xdr:to>
      <xdr:col>13</xdr:col>
      <xdr:colOff>488576</xdr:colOff>
      <xdr:row>392</xdr:row>
      <xdr:rowOff>0</xdr:rowOff>
    </xdr:to>
    <xdr:graphicFrame macro="">
      <xdr:nvGraphicFramePr>
        <xdr:cNvPr id="34" name="Chart 33">
          <a:extLst>
            <a:ext uri="{FF2B5EF4-FFF2-40B4-BE49-F238E27FC236}">
              <a16:creationId xmlns:a16="http://schemas.microsoft.com/office/drawing/2014/main" id="{955802D7-81D4-41F5-8543-46BC488DC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259081</xdr:colOff>
      <xdr:row>112</xdr:row>
      <xdr:rowOff>41910</xdr:rowOff>
    </xdr:from>
    <xdr:to>
      <xdr:col>13</xdr:col>
      <xdr:colOff>563880</xdr:colOff>
      <xdr:row>138</xdr:row>
      <xdr:rowOff>179070</xdr:rowOff>
    </xdr:to>
    <xdr:graphicFrame macro="">
      <xdr:nvGraphicFramePr>
        <xdr:cNvPr id="35" name="Chart 34">
          <a:extLst>
            <a:ext uri="{FF2B5EF4-FFF2-40B4-BE49-F238E27FC236}">
              <a16:creationId xmlns:a16="http://schemas.microsoft.com/office/drawing/2014/main" id="{D40D3032-1859-58B0-7D3E-DBCD7AC12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6</xdr:col>
      <xdr:colOff>541020</xdr:colOff>
      <xdr:row>48</xdr:row>
      <xdr:rowOff>99060</xdr:rowOff>
    </xdr:from>
    <xdr:to>
      <xdr:col>7</xdr:col>
      <xdr:colOff>381000</xdr:colOff>
      <xdr:row>52</xdr:row>
      <xdr:rowOff>99062</xdr:rowOff>
    </xdr:to>
    <xdr:pic>
      <xdr:nvPicPr>
        <xdr:cNvPr id="4" name="Graphic 3" descr="Garbage with solid fill">
          <a:extLst>
            <a:ext uri="{FF2B5EF4-FFF2-40B4-BE49-F238E27FC236}">
              <a16:creationId xmlns:a16="http://schemas.microsoft.com/office/drawing/2014/main" id="{10E8634D-0662-4DA4-9E03-16E8DFFCF3D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xmlns="" r:embed="rId24"/>
            </a:ext>
          </a:extLst>
        </a:blip>
        <a:stretch>
          <a:fillRect/>
        </a:stretch>
      </xdr:blipFill>
      <xdr:spPr>
        <a:xfrm>
          <a:off x="8903970" y="20909280"/>
          <a:ext cx="975360"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29310</xdr:colOff>
      <xdr:row>42</xdr:row>
      <xdr:rowOff>64478</xdr:rowOff>
    </xdr:from>
    <xdr:to>
      <xdr:col>0</xdr:col>
      <xdr:colOff>571912</xdr:colOff>
      <xdr:row>44</xdr:row>
      <xdr:rowOff>182881</xdr:rowOff>
    </xdr:to>
    <xdr:pic>
      <xdr:nvPicPr>
        <xdr:cNvPr id="2" name="Picture 1" descr="Papierhandtücher, saugstark - Höga-Pharm e. K.">
          <a:extLst>
            <a:ext uri="{FF2B5EF4-FFF2-40B4-BE49-F238E27FC236}">
              <a16:creationId xmlns:a16="http://schemas.microsoft.com/office/drawing/2014/main" id="{087FCC0E-69E2-4EEA-80B9-E3211A608F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10" y="8842718"/>
          <a:ext cx="542602" cy="537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129208</xdr:colOff>
      <xdr:row>27</xdr:row>
      <xdr:rowOff>101887</xdr:rowOff>
    </xdr:from>
    <xdr:to>
      <xdr:col>0</xdr:col>
      <xdr:colOff>553069</xdr:colOff>
      <xdr:row>30</xdr:row>
      <xdr:rowOff>16512</xdr:rowOff>
    </xdr:to>
    <xdr:pic>
      <xdr:nvPicPr>
        <xdr:cNvPr id="3" name="Picture 5" descr="Premium Papier, DIN A4, superdick, 400 g/m2, Druckerpapier, Weiß, 100  Blatt: Amazon.de: Bürobedarf &amp; Schreibwaren">
          <a:extLst>
            <a:ext uri="{FF2B5EF4-FFF2-40B4-BE49-F238E27FC236}">
              <a16:creationId xmlns:a16="http://schemas.microsoft.com/office/drawing/2014/main" id="{D851E81B-B2D0-4CDA-A52F-6E05BC59BC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208" y="6159787"/>
          <a:ext cx="423861" cy="455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99646</xdr:colOff>
      <xdr:row>56</xdr:row>
      <xdr:rowOff>76200</xdr:rowOff>
    </xdr:from>
    <xdr:to>
      <xdr:col>0</xdr:col>
      <xdr:colOff>562707</xdr:colOff>
      <xdr:row>59</xdr:row>
      <xdr:rowOff>116381</xdr:rowOff>
    </xdr:to>
    <xdr:pic>
      <xdr:nvPicPr>
        <xdr:cNvPr id="4" name="Picture 3">
          <a:extLst>
            <a:ext uri="{FF2B5EF4-FFF2-40B4-BE49-F238E27FC236}">
              <a16:creationId xmlns:a16="http://schemas.microsoft.com/office/drawing/2014/main" id="{1BE58951-4E4E-4AC2-B623-3E3EA8A3C6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646" y="11460480"/>
          <a:ext cx="463061" cy="649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53750</xdr:colOff>
      <xdr:row>4</xdr:row>
      <xdr:rowOff>178902</xdr:rowOff>
    </xdr:from>
    <xdr:to>
      <xdr:col>11</xdr:col>
      <xdr:colOff>0</xdr:colOff>
      <xdr:row>13</xdr:row>
      <xdr:rowOff>152399</xdr:rowOff>
    </xdr:to>
    <xdr:graphicFrame macro="">
      <xdr:nvGraphicFramePr>
        <xdr:cNvPr id="5" name="Chart 4">
          <a:extLst>
            <a:ext uri="{FF2B5EF4-FFF2-40B4-BE49-F238E27FC236}">
              <a16:creationId xmlns:a16="http://schemas.microsoft.com/office/drawing/2014/main" id="{4310A4AF-978D-45D5-BE71-0E7D0FC6C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15240</xdr:colOff>
      <xdr:row>0</xdr:row>
      <xdr:rowOff>45720</xdr:rowOff>
    </xdr:from>
    <xdr:to>
      <xdr:col>1</xdr:col>
      <xdr:colOff>1051897</xdr:colOff>
      <xdr:row>3</xdr:row>
      <xdr:rowOff>193440</xdr:rowOff>
    </xdr:to>
    <xdr:pic>
      <xdr:nvPicPr>
        <xdr:cNvPr id="7" name="Picture 6">
          <a:extLst>
            <a:ext uri="{FF2B5EF4-FFF2-40B4-BE49-F238E27FC236}">
              <a16:creationId xmlns:a16="http://schemas.microsoft.com/office/drawing/2014/main" id="{401F0519-77C8-471F-BCE1-665BF0542C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4840" y="45720"/>
          <a:ext cx="1036657" cy="864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15240</xdr:colOff>
      <xdr:row>0</xdr:row>
      <xdr:rowOff>60959</xdr:rowOff>
    </xdr:from>
    <xdr:to>
      <xdr:col>1</xdr:col>
      <xdr:colOff>1051897</xdr:colOff>
      <xdr:row>3</xdr:row>
      <xdr:rowOff>208679</xdr:rowOff>
    </xdr:to>
    <xdr:pic>
      <xdr:nvPicPr>
        <xdr:cNvPr id="6" name="Picture 5">
          <a:extLst>
            <a:ext uri="{FF2B5EF4-FFF2-40B4-BE49-F238E27FC236}">
              <a16:creationId xmlns:a16="http://schemas.microsoft.com/office/drawing/2014/main" id="{C351CA8E-7E32-48C8-976E-0CAAE7DA2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59130" y="60959"/>
          <a:ext cx="1036657" cy="864000"/>
        </a:xfrm>
        <a:prstGeom prst="rect">
          <a:avLst/>
        </a:prstGeom>
      </xdr:spPr>
    </xdr:pic>
    <xdr:clientData/>
  </xdr:twoCellAnchor>
  <xdr:twoCellAnchor editAs="oneCell">
    <xdr:from>
      <xdr:col>8</xdr:col>
      <xdr:colOff>464820</xdr:colOff>
      <xdr:row>65</xdr:row>
      <xdr:rowOff>7620</xdr:rowOff>
    </xdr:from>
    <xdr:to>
      <xdr:col>8</xdr:col>
      <xdr:colOff>1379220</xdr:colOff>
      <xdr:row>69</xdr:row>
      <xdr:rowOff>160020</xdr:rowOff>
    </xdr:to>
    <xdr:pic>
      <xdr:nvPicPr>
        <xdr:cNvPr id="3" name="Graphic 2" descr="Computer with solid fill">
          <a:extLst>
            <a:ext uri="{FF2B5EF4-FFF2-40B4-BE49-F238E27FC236}">
              <a16:creationId xmlns:a16="http://schemas.microsoft.com/office/drawing/2014/main" id="{B6DFDAA1-054C-8CC5-23F8-BC159252CC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7185660" y="18150840"/>
          <a:ext cx="914400" cy="914400"/>
        </a:xfrm>
        <a:prstGeom prst="rect">
          <a:avLst/>
        </a:prstGeom>
      </xdr:spPr>
    </xdr:pic>
    <xdr:clientData/>
  </xdr:twoCellAnchor>
  <xdr:twoCellAnchor editAs="oneCell">
    <xdr:from>
      <xdr:col>8</xdr:col>
      <xdr:colOff>289560</xdr:colOff>
      <xdr:row>16</xdr:row>
      <xdr:rowOff>68580</xdr:rowOff>
    </xdr:from>
    <xdr:to>
      <xdr:col>8</xdr:col>
      <xdr:colOff>1203960</xdr:colOff>
      <xdr:row>21</xdr:row>
      <xdr:rowOff>60960</xdr:rowOff>
    </xdr:to>
    <xdr:pic>
      <xdr:nvPicPr>
        <xdr:cNvPr id="8" name="Graphic 7" descr="Leaky Tap with solid fill">
          <a:extLst>
            <a:ext uri="{FF2B5EF4-FFF2-40B4-BE49-F238E27FC236}">
              <a16:creationId xmlns:a16="http://schemas.microsoft.com/office/drawing/2014/main" id="{5A6A0CF0-429A-1F98-0ACF-1674F6E8CE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6941820" y="3192780"/>
          <a:ext cx="914400" cy="914400"/>
        </a:xfrm>
        <a:prstGeom prst="rect">
          <a:avLst/>
        </a:prstGeom>
      </xdr:spPr>
    </xdr:pic>
    <xdr:clientData/>
  </xdr:twoCellAnchor>
  <xdr:twoCellAnchor editAs="oneCell">
    <xdr:from>
      <xdr:col>8</xdr:col>
      <xdr:colOff>358140</xdr:colOff>
      <xdr:row>51</xdr:row>
      <xdr:rowOff>99060</xdr:rowOff>
    </xdr:from>
    <xdr:to>
      <xdr:col>8</xdr:col>
      <xdr:colOff>1272540</xdr:colOff>
      <xdr:row>56</xdr:row>
      <xdr:rowOff>60960</xdr:rowOff>
    </xdr:to>
    <xdr:pic>
      <xdr:nvPicPr>
        <xdr:cNvPr id="12" name="Graphic 11" descr="Table and chairs with solid fill">
          <a:extLst>
            <a:ext uri="{FF2B5EF4-FFF2-40B4-BE49-F238E27FC236}">
              <a16:creationId xmlns:a16="http://schemas.microsoft.com/office/drawing/2014/main" id="{25CB0A74-C9D5-EB3E-1BFB-F6A6FAFC8D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010400" y="9806940"/>
          <a:ext cx="914400" cy="914400"/>
        </a:xfrm>
        <a:prstGeom prst="rect">
          <a:avLst/>
        </a:prstGeom>
      </xdr:spPr>
    </xdr:pic>
    <xdr:clientData/>
  </xdr:twoCellAnchor>
  <xdr:twoCellAnchor editAs="oneCell">
    <xdr:from>
      <xdr:col>8</xdr:col>
      <xdr:colOff>342900</xdr:colOff>
      <xdr:row>42</xdr:row>
      <xdr:rowOff>45720</xdr:rowOff>
    </xdr:from>
    <xdr:to>
      <xdr:col>8</xdr:col>
      <xdr:colOff>1257300</xdr:colOff>
      <xdr:row>47</xdr:row>
      <xdr:rowOff>7620</xdr:rowOff>
    </xdr:to>
    <xdr:pic>
      <xdr:nvPicPr>
        <xdr:cNvPr id="14" name="Graphic 13" descr="Garbage with solid fill">
          <a:extLst>
            <a:ext uri="{FF2B5EF4-FFF2-40B4-BE49-F238E27FC236}">
              <a16:creationId xmlns:a16="http://schemas.microsoft.com/office/drawing/2014/main" id="{D4366510-55F7-2B23-B2BC-4D066451F19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tretch>
          <a:fillRect/>
        </a:stretch>
      </xdr:blipFill>
      <xdr:spPr>
        <a:xfrm>
          <a:off x="6995160" y="7970520"/>
          <a:ext cx="914400" cy="914400"/>
        </a:xfrm>
        <a:prstGeom prst="rect">
          <a:avLst/>
        </a:prstGeom>
      </xdr:spPr>
    </xdr:pic>
    <xdr:clientData/>
  </xdr:twoCellAnchor>
  <xdr:twoCellAnchor editAs="oneCell">
    <xdr:from>
      <xdr:col>8</xdr:col>
      <xdr:colOff>498120</xdr:colOff>
      <xdr:row>82</xdr:row>
      <xdr:rowOff>2820</xdr:rowOff>
    </xdr:from>
    <xdr:to>
      <xdr:col>8</xdr:col>
      <xdr:colOff>1203960</xdr:colOff>
      <xdr:row>85</xdr:row>
      <xdr:rowOff>137160</xdr:rowOff>
    </xdr:to>
    <xdr:pic>
      <xdr:nvPicPr>
        <xdr:cNvPr id="20" name="Graphic 19" descr="Internet Banking with solid fill">
          <a:extLst>
            <a:ext uri="{FF2B5EF4-FFF2-40B4-BE49-F238E27FC236}">
              <a16:creationId xmlns:a16="http://schemas.microsoft.com/office/drawing/2014/main" id="{4E42FBA7-F10B-7D4B-E598-0F3F0EEB37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7150380" y="15684780"/>
          <a:ext cx="705840" cy="705840"/>
        </a:xfrm>
        <a:prstGeom prst="rect">
          <a:avLst/>
        </a:prstGeom>
      </xdr:spPr>
    </xdr:pic>
    <xdr:clientData/>
  </xdr:twoCellAnchor>
  <xdr:twoCellAnchor editAs="oneCell">
    <xdr:from>
      <xdr:col>8</xdr:col>
      <xdr:colOff>427140</xdr:colOff>
      <xdr:row>73</xdr:row>
      <xdr:rowOff>15660</xdr:rowOff>
    </xdr:from>
    <xdr:to>
      <xdr:col>8</xdr:col>
      <xdr:colOff>1341540</xdr:colOff>
      <xdr:row>77</xdr:row>
      <xdr:rowOff>168060</xdr:rowOff>
    </xdr:to>
    <xdr:pic>
      <xdr:nvPicPr>
        <xdr:cNvPr id="22" name="Graphic 21" descr="Laptop with solid fill">
          <a:extLst>
            <a:ext uri="{FF2B5EF4-FFF2-40B4-BE49-F238E27FC236}">
              <a16:creationId xmlns:a16="http://schemas.microsoft.com/office/drawing/2014/main" id="{E0AA3AD8-41BE-C865-3F38-285DA6B911E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tretch>
          <a:fillRect/>
        </a:stretch>
      </xdr:blipFill>
      <xdr:spPr>
        <a:xfrm>
          <a:off x="7147980" y="16634880"/>
          <a:ext cx="914400" cy="914400"/>
        </a:xfrm>
        <a:prstGeom prst="rect">
          <a:avLst/>
        </a:prstGeom>
      </xdr:spPr>
    </xdr:pic>
    <xdr:clientData/>
  </xdr:twoCellAnchor>
  <xdr:twoCellAnchor editAs="oneCell">
    <xdr:from>
      <xdr:col>8</xdr:col>
      <xdr:colOff>464820</xdr:colOff>
      <xdr:row>102</xdr:row>
      <xdr:rowOff>160020</xdr:rowOff>
    </xdr:from>
    <xdr:to>
      <xdr:col>8</xdr:col>
      <xdr:colOff>1379220</xdr:colOff>
      <xdr:row>107</xdr:row>
      <xdr:rowOff>121920</xdr:rowOff>
    </xdr:to>
    <xdr:pic>
      <xdr:nvPicPr>
        <xdr:cNvPr id="23" name="Graphic 22" descr="Books with solid fill">
          <a:extLst>
            <a:ext uri="{FF2B5EF4-FFF2-40B4-BE49-F238E27FC236}">
              <a16:creationId xmlns:a16="http://schemas.microsoft.com/office/drawing/2014/main" id="{4585057D-7C11-4D43-92B4-25F225DFF14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tretch>
          <a:fillRect/>
        </a:stretch>
      </xdr:blipFill>
      <xdr:spPr>
        <a:xfrm>
          <a:off x="7117080" y="19720560"/>
          <a:ext cx="914400" cy="914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591710</xdr:colOff>
      <xdr:row>6</xdr:row>
      <xdr:rowOff>179154</xdr:rowOff>
    </xdr:from>
    <xdr:to>
      <xdr:col>15</xdr:col>
      <xdr:colOff>424070</xdr:colOff>
      <xdr:row>19</xdr:row>
      <xdr:rowOff>99391</xdr:rowOff>
    </xdr:to>
    <xdr:graphicFrame macro="">
      <xdr:nvGraphicFramePr>
        <xdr:cNvPr id="9" name="Chart 8">
          <a:extLst>
            <a:ext uri="{FF2B5EF4-FFF2-40B4-BE49-F238E27FC236}">
              <a16:creationId xmlns:a16="http://schemas.microsoft.com/office/drawing/2014/main" id="{C6C871A6-5472-4005-8AC1-2F99D7F52D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0</xdr:row>
      <xdr:rowOff>15240</xdr:rowOff>
    </xdr:from>
    <xdr:to>
      <xdr:col>4</xdr:col>
      <xdr:colOff>126376</xdr:colOff>
      <xdr:row>3</xdr:row>
      <xdr:rowOff>198960</xdr:rowOff>
    </xdr:to>
    <xdr:pic>
      <xdr:nvPicPr>
        <xdr:cNvPr id="2" name="Picture 1">
          <a:extLst>
            <a:ext uri="{FF2B5EF4-FFF2-40B4-BE49-F238E27FC236}">
              <a16:creationId xmlns:a16="http://schemas.microsoft.com/office/drawing/2014/main" id="{45634B0B-EF38-4A18-89BA-653A4E7ABD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08660" y="15240"/>
          <a:ext cx="1063636" cy="900000"/>
        </a:xfrm>
        <a:prstGeom prst="rect">
          <a:avLst/>
        </a:prstGeom>
      </xdr:spPr>
    </xdr:pic>
    <xdr:clientData/>
  </xdr:twoCellAnchor>
  <xdr:twoCellAnchor>
    <xdr:from>
      <xdr:col>1</xdr:col>
      <xdr:colOff>7620</xdr:colOff>
      <xdr:row>39</xdr:row>
      <xdr:rowOff>152400</xdr:rowOff>
    </xdr:from>
    <xdr:to>
      <xdr:col>11</xdr:col>
      <xdr:colOff>114300</xdr:colOff>
      <xdr:row>60</xdr:row>
      <xdr:rowOff>30480</xdr:rowOff>
    </xdr:to>
    <xdr:graphicFrame macro="">
      <xdr:nvGraphicFramePr>
        <xdr:cNvPr id="3" name="Chart 2">
          <a:extLst>
            <a:ext uri="{FF2B5EF4-FFF2-40B4-BE49-F238E27FC236}">
              <a16:creationId xmlns:a16="http://schemas.microsoft.com/office/drawing/2014/main" id="{CEF76EB0-4A3E-0E9E-987E-9979CAD623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11430</xdr:colOff>
      <xdr:row>60</xdr:row>
      <xdr:rowOff>129540</xdr:rowOff>
    </xdr:from>
    <xdr:to>
      <xdr:col>12</xdr:col>
      <xdr:colOff>22860</xdr:colOff>
      <xdr:row>78</xdr:row>
      <xdr:rowOff>198120</xdr:rowOff>
    </xdr:to>
    <xdr:graphicFrame macro="">
      <xdr:nvGraphicFramePr>
        <xdr:cNvPr id="7" name="Chart 6">
          <a:extLst>
            <a:ext uri="{FF2B5EF4-FFF2-40B4-BE49-F238E27FC236}">
              <a16:creationId xmlns:a16="http://schemas.microsoft.com/office/drawing/2014/main" id="{06EE0EC1-9688-BE28-3D16-0D79DAE5C0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598170</xdr:colOff>
      <xdr:row>102</xdr:row>
      <xdr:rowOff>137160</xdr:rowOff>
    </xdr:from>
    <xdr:to>
      <xdr:col>12</xdr:col>
      <xdr:colOff>0</xdr:colOff>
      <xdr:row>123</xdr:row>
      <xdr:rowOff>152400</xdr:rowOff>
    </xdr:to>
    <xdr:graphicFrame macro="">
      <xdr:nvGraphicFramePr>
        <xdr:cNvPr id="8" name="Chart 7">
          <a:extLst>
            <a:ext uri="{FF2B5EF4-FFF2-40B4-BE49-F238E27FC236}">
              <a16:creationId xmlns:a16="http://schemas.microsoft.com/office/drawing/2014/main" id="{1014BC18-B8E3-0046-CF4C-B80BBE6F20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76200</xdr:colOff>
      <xdr:row>0</xdr:row>
      <xdr:rowOff>30480</xdr:rowOff>
    </xdr:from>
    <xdr:to>
      <xdr:col>2</xdr:col>
      <xdr:colOff>979313</xdr:colOff>
      <xdr:row>3</xdr:row>
      <xdr:rowOff>175088</xdr:rowOff>
    </xdr:to>
    <xdr:pic>
      <xdr:nvPicPr>
        <xdr:cNvPr id="2" name="Picture 1">
          <a:extLst>
            <a:ext uri="{FF2B5EF4-FFF2-40B4-BE49-F238E27FC236}">
              <a16:creationId xmlns:a16="http://schemas.microsoft.com/office/drawing/2014/main" id="{7E388A95-22D3-4A8D-A907-66940E88D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56260" y="30480"/>
          <a:ext cx="1017413" cy="860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198120</xdr:colOff>
      <xdr:row>0</xdr:row>
      <xdr:rowOff>76200</xdr:rowOff>
    </xdr:from>
    <xdr:to>
      <xdr:col>2</xdr:col>
      <xdr:colOff>1215533</xdr:colOff>
      <xdr:row>3</xdr:row>
      <xdr:rowOff>205568</xdr:rowOff>
    </xdr:to>
    <xdr:pic>
      <xdr:nvPicPr>
        <xdr:cNvPr id="3" name="Picture 2">
          <a:extLst>
            <a:ext uri="{FF2B5EF4-FFF2-40B4-BE49-F238E27FC236}">
              <a16:creationId xmlns:a16="http://schemas.microsoft.com/office/drawing/2014/main" id="{85EBD782-502B-453D-85A9-AD9C729E27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92480" y="76200"/>
          <a:ext cx="1017413" cy="8608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76200</xdr:colOff>
      <xdr:row>0</xdr:row>
      <xdr:rowOff>30480</xdr:rowOff>
    </xdr:from>
    <xdr:to>
      <xdr:col>2</xdr:col>
      <xdr:colOff>979313</xdr:colOff>
      <xdr:row>3</xdr:row>
      <xdr:rowOff>175088</xdr:rowOff>
    </xdr:to>
    <xdr:pic>
      <xdr:nvPicPr>
        <xdr:cNvPr id="2" name="Picture 1">
          <a:extLst>
            <a:ext uri="{FF2B5EF4-FFF2-40B4-BE49-F238E27FC236}">
              <a16:creationId xmlns:a16="http://schemas.microsoft.com/office/drawing/2014/main" id="{65DA0B80-DAD9-42EB-9D07-E85A7ABF78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56260" y="30480"/>
          <a:ext cx="1017413" cy="8608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53336</xdr:colOff>
      <xdr:row>0</xdr:row>
      <xdr:rowOff>45719</xdr:rowOff>
    </xdr:from>
    <xdr:to>
      <xdr:col>2</xdr:col>
      <xdr:colOff>40102</xdr:colOff>
      <xdr:row>3</xdr:row>
      <xdr:rowOff>193439</xdr:rowOff>
    </xdr:to>
    <xdr:pic>
      <xdr:nvPicPr>
        <xdr:cNvPr id="2" name="Picture 1">
          <a:extLst>
            <a:ext uri="{FF2B5EF4-FFF2-40B4-BE49-F238E27FC236}">
              <a16:creationId xmlns:a16="http://schemas.microsoft.com/office/drawing/2014/main" id="{CBB7A9EE-F94E-4384-A8BB-7093DB957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2936" y="45719"/>
          <a:ext cx="1045946" cy="864000"/>
        </a:xfrm>
        <a:prstGeom prst="rect">
          <a:avLst/>
        </a:prstGeom>
      </xdr:spPr>
    </xdr:pic>
    <xdr:clientData/>
  </xdr:twoCellAnchor>
  <xdr:twoCellAnchor>
    <xdr:from>
      <xdr:col>0</xdr:col>
      <xdr:colOff>604300</xdr:colOff>
      <xdr:row>68</xdr:row>
      <xdr:rowOff>135504</xdr:rowOff>
    </xdr:from>
    <xdr:to>
      <xdr:col>7</xdr:col>
      <xdr:colOff>289560</xdr:colOff>
      <xdr:row>76</xdr:row>
      <xdr:rowOff>175260</xdr:rowOff>
    </xdr:to>
    <xdr:graphicFrame macro="">
      <xdr:nvGraphicFramePr>
        <xdr:cNvPr id="3" name="Chart 2">
          <a:extLst>
            <a:ext uri="{FF2B5EF4-FFF2-40B4-BE49-F238E27FC236}">
              <a16:creationId xmlns:a16="http://schemas.microsoft.com/office/drawing/2014/main" id="{6A1FD478-B654-3048-BFD8-93B76AA9EA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53340</xdr:rowOff>
    </xdr:from>
    <xdr:to>
      <xdr:col>1</xdr:col>
      <xdr:colOff>1045946</xdr:colOff>
      <xdr:row>3</xdr:row>
      <xdr:rowOff>201060</xdr:rowOff>
    </xdr:to>
    <xdr:pic>
      <xdr:nvPicPr>
        <xdr:cNvPr id="2" name="Picture 1">
          <a:extLst>
            <a:ext uri="{FF2B5EF4-FFF2-40B4-BE49-F238E27FC236}">
              <a16:creationId xmlns:a16="http://schemas.microsoft.com/office/drawing/2014/main" id="{62EE65D9-6AA5-49D4-92D3-09C347115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0" y="53340"/>
          <a:ext cx="1045946" cy="864000"/>
        </a:xfrm>
        <a:prstGeom prst="rect">
          <a:avLst/>
        </a:prstGeom>
      </xdr:spPr>
    </xdr:pic>
    <xdr:clientData/>
  </xdr:twoCellAnchor>
  <xdr:twoCellAnchor>
    <xdr:from>
      <xdr:col>1</xdr:col>
      <xdr:colOff>2320</xdr:colOff>
      <xdr:row>43</xdr:row>
      <xdr:rowOff>13583</xdr:rowOff>
    </xdr:from>
    <xdr:to>
      <xdr:col>6</xdr:col>
      <xdr:colOff>358140</xdr:colOff>
      <xdr:row>51</xdr:row>
      <xdr:rowOff>45719</xdr:rowOff>
    </xdr:to>
    <xdr:graphicFrame macro="">
      <xdr:nvGraphicFramePr>
        <xdr:cNvPr id="3" name="Chart 2">
          <a:extLst>
            <a:ext uri="{FF2B5EF4-FFF2-40B4-BE49-F238E27FC236}">
              <a16:creationId xmlns:a16="http://schemas.microsoft.com/office/drawing/2014/main" id="{E1B6A809-AC7A-4D71-9934-06D39A35D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361949</xdr:colOff>
      <xdr:row>18</xdr:row>
      <xdr:rowOff>18720</xdr:rowOff>
    </xdr:from>
    <xdr:to>
      <xdr:col>10</xdr:col>
      <xdr:colOff>445770</xdr:colOff>
      <xdr:row>30</xdr:row>
      <xdr:rowOff>62802</xdr:rowOff>
    </xdr:to>
    <xdr:pic>
      <xdr:nvPicPr>
        <xdr:cNvPr id="3" name="Picture 2">
          <a:extLst>
            <a:ext uri="{FF2B5EF4-FFF2-40B4-BE49-F238E27FC236}">
              <a16:creationId xmlns:a16="http://schemas.microsoft.com/office/drawing/2014/main" id="{D69716D3-E9A6-4F59-A1A9-2F70EC59CC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5132" y="5147311"/>
          <a:ext cx="4317890" cy="2091543"/>
        </a:xfrm>
        <a:prstGeom prst="rect">
          <a:avLst/>
        </a:prstGeom>
        <a:ln>
          <a:solidFill>
            <a:schemeClr val="bg1">
              <a:lumMod val="85000"/>
            </a:schemeClr>
          </a:solidFill>
        </a:ln>
      </xdr:spPr>
    </xdr:pic>
    <xdr:clientData/>
  </xdr:twoCellAnchor>
  <xdr:twoCellAnchor>
    <xdr:from>
      <xdr:col>4</xdr:col>
      <xdr:colOff>192176</xdr:colOff>
      <xdr:row>124</xdr:row>
      <xdr:rowOff>65539</xdr:rowOff>
    </xdr:from>
    <xdr:to>
      <xdr:col>10</xdr:col>
      <xdr:colOff>274009</xdr:colOff>
      <xdr:row>139</xdr:row>
      <xdr:rowOff>80681</xdr:rowOff>
    </xdr:to>
    <xdr:graphicFrame macro="">
      <xdr:nvGraphicFramePr>
        <xdr:cNvPr id="4" name="Chart 3">
          <a:extLst>
            <a:ext uri="{FF2B5EF4-FFF2-40B4-BE49-F238E27FC236}">
              <a16:creationId xmlns:a16="http://schemas.microsoft.com/office/drawing/2014/main" id="{FEDC12F9-4316-4AB2-8CF9-254DA9F19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60960</xdr:rowOff>
    </xdr:from>
    <xdr:to>
      <xdr:col>1</xdr:col>
      <xdr:colOff>1045946</xdr:colOff>
      <xdr:row>3</xdr:row>
      <xdr:rowOff>208680</xdr:rowOff>
    </xdr:to>
    <xdr:pic>
      <xdr:nvPicPr>
        <xdr:cNvPr id="2" name="Picture 1">
          <a:extLst>
            <a:ext uri="{FF2B5EF4-FFF2-40B4-BE49-F238E27FC236}">
              <a16:creationId xmlns:a16="http://schemas.microsoft.com/office/drawing/2014/main" id="{B81BDBDD-A677-414D-A611-3D7CCD4FEA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9600" y="60960"/>
          <a:ext cx="1045946" cy="864000"/>
        </a:xfrm>
        <a:prstGeom prst="rect">
          <a:avLst/>
        </a:prstGeom>
      </xdr:spPr>
    </xdr:pic>
    <xdr:clientData/>
  </xdr:twoCellAnchor>
  <xdr:twoCellAnchor>
    <xdr:from>
      <xdr:col>1</xdr:col>
      <xdr:colOff>120438</xdr:colOff>
      <xdr:row>124</xdr:row>
      <xdr:rowOff>156689</xdr:rowOff>
    </xdr:from>
    <xdr:to>
      <xdr:col>4</xdr:col>
      <xdr:colOff>83799</xdr:colOff>
      <xdr:row>139</xdr:row>
      <xdr:rowOff>71718</xdr:rowOff>
    </xdr:to>
    <xdr:graphicFrame macro="">
      <xdr:nvGraphicFramePr>
        <xdr:cNvPr id="6" name="Chart 5">
          <a:extLst>
            <a:ext uri="{FF2B5EF4-FFF2-40B4-BE49-F238E27FC236}">
              <a16:creationId xmlns:a16="http://schemas.microsoft.com/office/drawing/2014/main" id="{F471967B-D3B2-AC8B-A12F-6D76DBCB8D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346894</xdr:colOff>
      <xdr:row>31</xdr:row>
      <xdr:rowOff>8967</xdr:rowOff>
    </xdr:from>
    <xdr:to>
      <xdr:col>10</xdr:col>
      <xdr:colOff>457200</xdr:colOff>
      <xdr:row>47</xdr:row>
      <xdr:rowOff>53789</xdr:rowOff>
    </xdr:to>
    <xdr:graphicFrame macro="">
      <xdr:nvGraphicFramePr>
        <xdr:cNvPr id="7" name="Chart 6">
          <a:extLst>
            <a:ext uri="{FF2B5EF4-FFF2-40B4-BE49-F238E27FC236}">
              <a16:creationId xmlns:a16="http://schemas.microsoft.com/office/drawing/2014/main" id="{E591BD14-F7A6-A662-0E7B-8923688C0C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4</xdr:col>
      <xdr:colOff>960783</xdr:colOff>
      <xdr:row>37</xdr:row>
      <xdr:rowOff>158366</xdr:rowOff>
    </xdr:from>
    <xdr:ext cx="979792" cy="926947"/>
    <xdr:pic>
      <xdr:nvPicPr>
        <xdr:cNvPr id="25" name="Picture 24">
          <a:extLst>
            <a:ext uri="{FF2B5EF4-FFF2-40B4-BE49-F238E27FC236}">
              <a16:creationId xmlns:a16="http://schemas.microsoft.com/office/drawing/2014/main" id="{AA6250AA-F909-4918-A744-B08F0810C59D}"/>
            </a:ext>
          </a:extLst>
        </xdr:cNvPr>
        <xdr:cNvPicPr>
          <a:picLocks noChangeAspect="1"/>
        </xdr:cNvPicPr>
      </xdr:nvPicPr>
      <xdr:blipFill>
        <a:blip xmlns:r="http://schemas.openxmlformats.org/officeDocument/2006/relationships" r:embed="rId1"/>
        <a:stretch>
          <a:fillRect/>
        </a:stretch>
      </xdr:blipFill>
      <xdr:spPr>
        <a:xfrm>
          <a:off x="5280992" y="10879375"/>
          <a:ext cx="979792" cy="926947"/>
        </a:xfrm>
        <a:prstGeom prst="rect">
          <a:avLst/>
        </a:prstGeom>
      </xdr:spPr>
    </xdr:pic>
    <xdr:clientData/>
  </xdr:oneCellAnchor>
  <xdr:oneCellAnchor>
    <xdr:from>
      <xdr:col>1</xdr:col>
      <xdr:colOff>125897</xdr:colOff>
      <xdr:row>43</xdr:row>
      <xdr:rowOff>46381</xdr:rowOff>
    </xdr:from>
    <xdr:ext cx="4491466" cy="369758"/>
    <xdr:pic>
      <xdr:nvPicPr>
        <xdr:cNvPr id="26" name="Picture 25">
          <a:extLst>
            <a:ext uri="{FF2B5EF4-FFF2-40B4-BE49-F238E27FC236}">
              <a16:creationId xmlns:a16="http://schemas.microsoft.com/office/drawing/2014/main" id="{5E539499-F505-4C7E-B01E-473E68346F82}"/>
            </a:ext>
          </a:extLst>
        </xdr:cNvPr>
        <xdr:cNvPicPr>
          <a:picLocks noChangeAspect="1"/>
        </xdr:cNvPicPr>
      </xdr:nvPicPr>
      <xdr:blipFill>
        <a:blip xmlns:r="http://schemas.openxmlformats.org/officeDocument/2006/relationships" r:embed="rId2"/>
        <a:stretch>
          <a:fillRect/>
        </a:stretch>
      </xdr:blipFill>
      <xdr:spPr>
        <a:xfrm>
          <a:off x="735497" y="12119111"/>
          <a:ext cx="4491466" cy="369758"/>
        </a:xfrm>
        <a:prstGeom prst="rect">
          <a:avLst/>
        </a:prstGeom>
      </xdr:spPr>
    </xdr:pic>
    <xdr:clientData/>
  </xdr:oneCellAnchor>
  <xdr:oneCellAnchor>
    <xdr:from>
      <xdr:col>5</xdr:col>
      <xdr:colOff>132521</xdr:colOff>
      <xdr:row>47</xdr:row>
      <xdr:rowOff>165652</xdr:rowOff>
    </xdr:from>
    <xdr:ext cx="381033" cy="248169"/>
    <xdr:pic>
      <xdr:nvPicPr>
        <xdr:cNvPr id="27" name="Picture 26">
          <a:extLst>
            <a:ext uri="{FF2B5EF4-FFF2-40B4-BE49-F238E27FC236}">
              <a16:creationId xmlns:a16="http://schemas.microsoft.com/office/drawing/2014/main" id="{D4B3ED03-4C62-46DF-9F87-9137B50247B6}"/>
            </a:ext>
          </a:extLst>
        </xdr:cNvPr>
        <xdr:cNvPicPr>
          <a:picLocks noChangeAspect="1"/>
        </xdr:cNvPicPr>
      </xdr:nvPicPr>
      <xdr:blipFill>
        <a:blip xmlns:r="http://schemas.openxmlformats.org/officeDocument/2006/relationships" r:embed="rId3"/>
        <a:stretch>
          <a:fillRect/>
        </a:stretch>
      </xdr:blipFill>
      <xdr:spPr>
        <a:xfrm>
          <a:off x="5638799" y="13166035"/>
          <a:ext cx="381033" cy="248169"/>
        </a:xfrm>
        <a:prstGeom prst="rect">
          <a:avLst/>
        </a:prstGeom>
      </xdr:spPr>
    </xdr:pic>
    <xdr:clientData/>
  </xdr:oneCellAnchor>
  <xdr:oneCellAnchor>
    <xdr:from>
      <xdr:col>3</xdr:col>
      <xdr:colOff>291547</xdr:colOff>
      <xdr:row>49</xdr:row>
      <xdr:rowOff>218660</xdr:rowOff>
    </xdr:from>
    <xdr:ext cx="623700" cy="235226"/>
    <xdr:pic>
      <xdr:nvPicPr>
        <xdr:cNvPr id="28" name="Picture 27">
          <a:extLst>
            <a:ext uri="{FF2B5EF4-FFF2-40B4-BE49-F238E27FC236}">
              <a16:creationId xmlns:a16="http://schemas.microsoft.com/office/drawing/2014/main" id="{2C32270A-22C1-4F8F-B5A8-89CFE2A73590}"/>
            </a:ext>
          </a:extLst>
        </xdr:cNvPr>
        <xdr:cNvPicPr>
          <a:picLocks noChangeAspect="1"/>
        </xdr:cNvPicPr>
      </xdr:nvPicPr>
      <xdr:blipFill>
        <a:blip xmlns:r="http://schemas.openxmlformats.org/officeDocument/2006/relationships" r:embed="rId4"/>
        <a:stretch>
          <a:fillRect/>
        </a:stretch>
      </xdr:blipFill>
      <xdr:spPr>
        <a:xfrm>
          <a:off x="3849756" y="13682869"/>
          <a:ext cx="623700" cy="235226"/>
        </a:xfrm>
        <a:prstGeom prst="rect">
          <a:avLst/>
        </a:prstGeom>
      </xdr:spPr>
    </xdr:pic>
    <xdr:clientData/>
  </xdr:oneCellAnchor>
  <xdr:oneCellAnchor>
    <xdr:from>
      <xdr:col>3</xdr:col>
      <xdr:colOff>477078</xdr:colOff>
      <xdr:row>51</xdr:row>
      <xdr:rowOff>46384</xdr:rowOff>
    </xdr:from>
    <xdr:ext cx="311427" cy="152775"/>
    <xdr:pic>
      <xdr:nvPicPr>
        <xdr:cNvPr id="29" name="Picture 28">
          <a:extLst>
            <a:ext uri="{FF2B5EF4-FFF2-40B4-BE49-F238E27FC236}">
              <a16:creationId xmlns:a16="http://schemas.microsoft.com/office/drawing/2014/main" id="{3A4F0CDF-9A57-4804-BF4C-603F4CBC22BC}"/>
            </a:ext>
          </a:extLst>
        </xdr:cNvPr>
        <xdr:cNvPicPr>
          <a:picLocks noChangeAspect="1"/>
        </xdr:cNvPicPr>
      </xdr:nvPicPr>
      <xdr:blipFill>
        <a:blip xmlns:r="http://schemas.openxmlformats.org/officeDocument/2006/relationships" r:embed="rId5"/>
        <a:stretch>
          <a:fillRect/>
        </a:stretch>
      </xdr:blipFill>
      <xdr:spPr>
        <a:xfrm>
          <a:off x="4035287" y="13974419"/>
          <a:ext cx="311427" cy="152775"/>
        </a:xfrm>
        <a:prstGeom prst="rect">
          <a:avLst/>
        </a:prstGeom>
      </xdr:spPr>
    </xdr:pic>
    <xdr:clientData/>
  </xdr:oneCellAnchor>
  <xdr:oneCellAnchor>
    <xdr:from>
      <xdr:col>3</xdr:col>
      <xdr:colOff>159025</xdr:colOff>
      <xdr:row>52</xdr:row>
      <xdr:rowOff>6625</xdr:rowOff>
    </xdr:from>
    <xdr:ext cx="1119809" cy="219005"/>
    <xdr:pic>
      <xdr:nvPicPr>
        <xdr:cNvPr id="30" name="Picture 29">
          <a:extLst>
            <a:ext uri="{FF2B5EF4-FFF2-40B4-BE49-F238E27FC236}">
              <a16:creationId xmlns:a16="http://schemas.microsoft.com/office/drawing/2014/main" id="{E2E67427-2ED7-4CAB-97E3-EC4B3584DF2E}"/>
            </a:ext>
          </a:extLst>
        </xdr:cNvPr>
        <xdr:cNvPicPr>
          <a:picLocks noChangeAspect="1"/>
        </xdr:cNvPicPr>
      </xdr:nvPicPr>
      <xdr:blipFill>
        <a:blip xmlns:r="http://schemas.openxmlformats.org/officeDocument/2006/relationships" r:embed="rId6"/>
        <a:stretch>
          <a:fillRect/>
        </a:stretch>
      </xdr:blipFill>
      <xdr:spPr>
        <a:xfrm>
          <a:off x="3717234" y="14166573"/>
          <a:ext cx="1119809" cy="219005"/>
        </a:xfrm>
        <a:prstGeom prst="rect">
          <a:avLst/>
        </a:prstGeom>
      </xdr:spPr>
    </xdr:pic>
    <xdr:clientData/>
  </xdr:oneCellAnchor>
  <xdr:twoCellAnchor editAs="oneCell">
    <xdr:from>
      <xdr:col>1</xdr:col>
      <xdr:colOff>45716</xdr:colOff>
      <xdr:row>0</xdr:row>
      <xdr:rowOff>45719</xdr:rowOff>
    </xdr:from>
    <xdr:to>
      <xdr:col>1</xdr:col>
      <xdr:colOff>1091662</xdr:colOff>
      <xdr:row>3</xdr:row>
      <xdr:rowOff>193439</xdr:rowOff>
    </xdr:to>
    <xdr:pic>
      <xdr:nvPicPr>
        <xdr:cNvPr id="2" name="Picture 1">
          <a:extLst>
            <a:ext uri="{FF2B5EF4-FFF2-40B4-BE49-F238E27FC236}">
              <a16:creationId xmlns:a16="http://schemas.microsoft.com/office/drawing/2014/main" id="{E5545615-A602-40CF-96CF-85029E5E8E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55316" y="45719"/>
          <a:ext cx="1045946" cy="864000"/>
        </a:xfrm>
        <a:prstGeom prst="rect">
          <a:avLst/>
        </a:prstGeom>
      </xdr:spPr>
    </xdr:pic>
    <xdr:clientData/>
  </xdr:twoCellAnchor>
  <xdr:twoCellAnchor editAs="oneCell">
    <xdr:from>
      <xdr:col>7</xdr:col>
      <xdr:colOff>38100</xdr:colOff>
      <xdr:row>31</xdr:row>
      <xdr:rowOff>68581</xdr:rowOff>
    </xdr:from>
    <xdr:to>
      <xdr:col>7</xdr:col>
      <xdr:colOff>878036</xdr:colOff>
      <xdr:row>36</xdr:row>
      <xdr:rowOff>26670</xdr:rowOff>
    </xdr:to>
    <xdr:pic>
      <xdr:nvPicPr>
        <xdr:cNvPr id="3" name="Picture 2">
          <a:extLst>
            <a:ext uri="{FF2B5EF4-FFF2-40B4-BE49-F238E27FC236}">
              <a16:creationId xmlns:a16="http://schemas.microsoft.com/office/drawing/2014/main" id="{39FB60FC-CEC0-B20D-949A-36C59180E3E3}"/>
            </a:ext>
          </a:extLst>
        </xdr:cNvPr>
        <xdr:cNvPicPr>
          <a:picLocks noChangeAspect="1"/>
        </xdr:cNvPicPr>
      </xdr:nvPicPr>
      <xdr:blipFill>
        <a:blip xmlns:r="http://schemas.openxmlformats.org/officeDocument/2006/relationships" r:embed="rId8"/>
        <a:stretch>
          <a:fillRect/>
        </a:stretch>
      </xdr:blipFill>
      <xdr:spPr>
        <a:xfrm>
          <a:off x="7254240" y="7299961"/>
          <a:ext cx="839936" cy="8724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594360</xdr:colOff>
      <xdr:row>0</xdr:row>
      <xdr:rowOff>38100</xdr:rowOff>
    </xdr:from>
    <xdr:to>
      <xdr:col>1</xdr:col>
      <xdr:colOff>1030706</xdr:colOff>
      <xdr:row>3</xdr:row>
      <xdr:rowOff>185820</xdr:rowOff>
    </xdr:to>
    <xdr:pic>
      <xdr:nvPicPr>
        <xdr:cNvPr id="2" name="Picture 1">
          <a:extLst>
            <a:ext uri="{FF2B5EF4-FFF2-40B4-BE49-F238E27FC236}">
              <a16:creationId xmlns:a16="http://schemas.microsoft.com/office/drawing/2014/main" id="{A5070895-F540-4D80-9913-4112A4C36E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4360" y="38100"/>
          <a:ext cx="1045946" cy="86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45720</xdr:colOff>
      <xdr:row>98</xdr:row>
      <xdr:rowOff>120015</xdr:rowOff>
    </xdr:from>
    <xdr:to>
      <xdr:col>4</xdr:col>
      <xdr:colOff>1051560</xdr:colOff>
      <xdr:row>113</xdr:row>
      <xdr:rowOff>120015</xdr:rowOff>
    </xdr:to>
    <xdr:graphicFrame macro="">
      <xdr:nvGraphicFramePr>
        <xdr:cNvPr id="9" name="Chart 8">
          <a:extLst>
            <a:ext uri="{FF2B5EF4-FFF2-40B4-BE49-F238E27FC236}">
              <a16:creationId xmlns:a16="http://schemas.microsoft.com/office/drawing/2014/main" id="{9B19AB09-07FE-42F2-94A2-42E29D833E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35859</xdr:colOff>
      <xdr:row>116</xdr:row>
      <xdr:rowOff>17930</xdr:rowOff>
    </xdr:from>
    <xdr:to>
      <xdr:col>3</xdr:col>
      <xdr:colOff>1006513</xdr:colOff>
      <xdr:row>128</xdr:row>
      <xdr:rowOff>188259</xdr:rowOff>
    </xdr:to>
    <xdr:graphicFrame macro="">
      <xdr:nvGraphicFramePr>
        <xdr:cNvPr id="22" name="Chart 21">
          <a:extLst>
            <a:ext uri="{FF2B5EF4-FFF2-40B4-BE49-F238E27FC236}">
              <a16:creationId xmlns:a16="http://schemas.microsoft.com/office/drawing/2014/main" id="{CC90A064-DF97-44A8-B383-03E6A96B8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15146</xdr:colOff>
      <xdr:row>115</xdr:row>
      <xdr:rowOff>110750</xdr:rowOff>
    </xdr:from>
    <xdr:to>
      <xdr:col>3</xdr:col>
      <xdr:colOff>950228</xdr:colOff>
      <xdr:row>115</xdr:row>
      <xdr:rowOff>284871</xdr:rowOff>
    </xdr:to>
    <xdr:pic>
      <xdr:nvPicPr>
        <xdr:cNvPr id="28" name="Picture 27">
          <a:extLst>
            <a:ext uri="{FF2B5EF4-FFF2-40B4-BE49-F238E27FC236}">
              <a16:creationId xmlns:a16="http://schemas.microsoft.com/office/drawing/2014/main" id="{A8101DCA-772A-42DA-AA5B-CFF7872BCC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983136" y="21061940"/>
          <a:ext cx="935082" cy="174121"/>
        </a:xfrm>
        <a:prstGeom prst="rect">
          <a:avLst/>
        </a:prstGeom>
      </xdr:spPr>
    </xdr:pic>
    <xdr:clientData/>
  </xdr:twoCellAnchor>
  <xdr:twoCellAnchor>
    <xdr:from>
      <xdr:col>3</xdr:col>
      <xdr:colOff>1048870</xdr:colOff>
      <xdr:row>116</xdr:row>
      <xdr:rowOff>17930</xdr:rowOff>
    </xdr:from>
    <xdr:to>
      <xdr:col>6</xdr:col>
      <xdr:colOff>688266</xdr:colOff>
      <xdr:row>128</xdr:row>
      <xdr:rowOff>188259</xdr:rowOff>
    </xdr:to>
    <xdr:graphicFrame macro="">
      <xdr:nvGraphicFramePr>
        <xdr:cNvPr id="29" name="Chart 28">
          <a:extLst>
            <a:ext uri="{FF2B5EF4-FFF2-40B4-BE49-F238E27FC236}">
              <a16:creationId xmlns:a16="http://schemas.microsoft.com/office/drawing/2014/main" id="{71DDAA85-8EE4-4BE7-95E9-C723A9AD55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739588</xdr:colOff>
      <xdr:row>116</xdr:row>
      <xdr:rowOff>17930</xdr:rowOff>
    </xdr:from>
    <xdr:to>
      <xdr:col>9</xdr:col>
      <xdr:colOff>786877</xdr:colOff>
      <xdr:row>128</xdr:row>
      <xdr:rowOff>188259</xdr:rowOff>
    </xdr:to>
    <xdr:graphicFrame macro="">
      <xdr:nvGraphicFramePr>
        <xdr:cNvPr id="30" name="Chart 29">
          <a:extLst>
            <a:ext uri="{FF2B5EF4-FFF2-40B4-BE49-F238E27FC236}">
              <a16:creationId xmlns:a16="http://schemas.microsoft.com/office/drawing/2014/main" id="{A7540FEB-F239-4819-A860-F8A306DF29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1126453</xdr:colOff>
      <xdr:row>115</xdr:row>
      <xdr:rowOff>136541</xdr:rowOff>
    </xdr:from>
    <xdr:to>
      <xdr:col>6</xdr:col>
      <xdr:colOff>550761</xdr:colOff>
      <xdr:row>115</xdr:row>
      <xdr:rowOff>316523</xdr:rowOff>
    </xdr:to>
    <xdr:pic>
      <xdr:nvPicPr>
        <xdr:cNvPr id="31" name="Picture 30">
          <a:extLst>
            <a:ext uri="{FF2B5EF4-FFF2-40B4-BE49-F238E27FC236}">
              <a16:creationId xmlns:a16="http://schemas.microsoft.com/office/drawing/2014/main" id="{20558FD9-71A4-48A3-96EF-C010C19422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84607" y="18324895"/>
          <a:ext cx="608339" cy="179982"/>
        </a:xfrm>
        <a:prstGeom prst="rect">
          <a:avLst/>
        </a:prstGeom>
      </xdr:spPr>
    </xdr:pic>
    <xdr:clientData/>
  </xdr:twoCellAnchor>
  <xdr:twoCellAnchor editAs="oneCell">
    <xdr:from>
      <xdr:col>9</xdr:col>
      <xdr:colOff>124732</xdr:colOff>
      <xdr:row>115</xdr:row>
      <xdr:rowOff>113094</xdr:rowOff>
    </xdr:from>
    <xdr:to>
      <xdr:col>9</xdr:col>
      <xdr:colOff>323572</xdr:colOff>
      <xdr:row>115</xdr:row>
      <xdr:rowOff>316522</xdr:rowOff>
    </xdr:to>
    <xdr:pic>
      <xdr:nvPicPr>
        <xdr:cNvPr id="32" name="Picture 31">
          <a:extLst>
            <a:ext uri="{FF2B5EF4-FFF2-40B4-BE49-F238E27FC236}">
              <a16:creationId xmlns:a16="http://schemas.microsoft.com/office/drawing/2014/main" id="{A6C3B4CD-F8EE-47A4-A5BD-0E7EF5319A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593410" y="18864920"/>
          <a:ext cx="198840" cy="203428"/>
        </a:xfrm>
        <a:prstGeom prst="rect">
          <a:avLst/>
        </a:prstGeom>
      </xdr:spPr>
    </xdr:pic>
    <xdr:clientData/>
  </xdr:twoCellAnchor>
  <xdr:twoCellAnchor>
    <xdr:from>
      <xdr:col>2</xdr:col>
      <xdr:colOff>45511</xdr:colOff>
      <xdr:row>142</xdr:row>
      <xdr:rowOff>44822</xdr:rowOff>
    </xdr:from>
    <xdr:to>
      <xdr:col>4</xdr:col>
      <xdr:colOff>8965</xdr:colOff>
      <xdr:row>154</xdr:row>
      <xdr:rowOff>215153</xdr:rowOff>
    </xdr:to>
    <xdr:graphicFrame macro="">
      <xdr:nvGraphicFramePr>
        <xdr:cNvPr id="33" name="Chart 32">
          <a:extLst>
            <a:ext uri="{FF2B5EF4-FFF2-40B4-BE49-F238E27FC236}">
              <a16:creationId xmlns:a16="http://schemas.microsoft.com/office/drawing/2014/main" id="{26BCB4DF-1CBE-489F-861D-686333308E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116541</xdr:colOff>
      <xdr:row>142</xdr:row>
      <xdr:rowOff>44823</xdr:rowOff>
    </xdr:from>
    <xdr:to>
      <xdr:col>6</xdr:col>
      <xdr:colOff>1060989</xdr:colOff>
      <xdr:row>154</xdr:row>
      <xdr:rowOff>215153</xdr:rowOff>
    </xdr:to>
    <xdr:graphicFrame macro="">
      <xdr:nvGraphicFramePr>
        <xdr:cNvPr id="34" name="Chart 33">
          <a:extLst>
            <a:ext uri="{FF2B5EF4-FFF2-40B4-BE49-F238E27FC236}">
              <a16:creationId xmlns:a16="http://schemas.microsoft.com/office/drawing/2014/main" id="{745451F6-B077-425A-A6E8-47617A7987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225</xdr:row>
      <xdr:rowOff>150495</xdr:rowOff>
    </xdr:from>
    <xdr:to>
      <xdr:col>5</xdr:col>
      <xdr:colOff>636270</xdr:colOff>
      <xdr:row>240</xdr:row>
      <xdr:rowOff>150495</xdr:rowOff>
    </xdr:to>
    <xdr:graphicFrame macro="">
      <xdr:nvGraphicFramePr>
        <xdr:cNvPr id="14" name="Chart 13">
          <a:extLst>
            <a:ext uri="{FF2B5EF4-FFF2-40B4-BE49-F238E27FC236}">
              <a16:creationId xmlns:a16="http://schemas.microsoft.com/office/drawing/2014/main" id="{3D9C2457-3807-4DA4-903A-226D520EC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7619</xdr:colOff>
      <xdr:row>243</xdr:row>
      <xdr:rowOff>94241</xdr:rowOff>
    </xdr:from>
    <xdr:to>
      <xdr:col>3</xdr:col>
      <xdr:colOff>978273</xdr:colOff>
      <xdr:row>256</xdr:row>
      <xdr:rowOff>29308</xdr:rowOff>
    </xdr:to>
    <xdr:graphicFrame macro="">
      <xdr:nvGraphicFramePr>
        <xdr:cNvPr id="15" name="Chart 14">
          <a:extLst>
            <a:ext uri="{FF2B5EF4-FFF2-40B4-BE49-F238E27FC236}">
              <a16:creationId xmlns:a16="http://schemas.microsoft.com/office/drawing/2014/main" id="{EAAFD92B-A00C-4336-BBCC-95119884A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3</xdr:col>
      <xdr:colOff>64676</xdr:colOff>
      <xdr:row>242</xdr:row>
      <xdr:rowOff>7880</xdr:rowOff>
    </xdr:from>
    <xdr:ext cx="815481" cy="174121"/>
    <xdr:pic>
      <xdr:nvPicPr>
        <xdr:cNvPr id="16" name="Picture 15">
          <a:extLst>
            <a:ext uri="{FF2B5EF4-FFF2-40B4-BE49-F238E27FC236}">
              <a16:creationId xmlns:a16="http://schemas.microsoft.com/office/drawing/2014/main" id="{211E2FDA-A074-4468-AD47-4AE6B8687F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032666" y="45003980"/>
          <a:ext cx="815481" cy="174121"/>
        </a:xfrm>
        <a:prstGeom prst="rect">
          <a:avLst/>
        </a:prstGeom>
      </xdr:spPr>
    </xdr:pic>
    <xdr:clientData/>
  </xdr:oneCellAnchor>
  <xdr:twoCellAnchor>
    <xdr:from>
      <xdr:col>3</xdr:col>
      <xdr:colOff>1038560</xdr:colOff>
      <xdr:row>243</xdr:row>
      <xdr:rowOff>94241</xdr:rowOff>
    </xdr:from>
    <xdr:to>
      <xdr:col>6</xdr:col>
      <xdr:colOff>677956</xdr:colOff>
      <xdr:row>256</xdr:row>
      <xdr:rowOff>29308</xdr:rowOff>
    </xdr:to>
    <xdr:graphicFrame macro="">
      <xdr:nvGraphicFramePr>
        <xdr:cNvPr id="17" name="Chart 16">
          <a:extLst>
            <a:ext uri="{FF2B5EF4-FFF2-40B4-BE49-F238E27FC236}">
              <a16:creationId xmlns:a16="http://schemas.microsoft.com/office/drawing/2014/main" id="{8EC683CA-D972-4D99-BF5D-3CCF77BB0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739588</xdr:colOff>
      <xdr:row>243</xdr:row>
      <xdr:rowOff>94241</xdr:rowOff>
    </xdr:from>
    <xdr:to>
      <xdr:col>9</xdr:col>
      <xdr:colOff>786877</xdr:colOff>
      <xdr:row>256</xdr:row>
      <xdr:rowOff>29308</xdr:rowOff>
    </xdr:to>
    <xdr:graphicFrame macro="">
      <xdr:nvGraphicFramePr>
        <xdr:cNvPr id="18" name="Chart 17">
          <a:extLst>
            <a:ext uri="{FF2B5EF4-FFF2-40B4-BE49-F238E27FC236}">
              <a16:creationId xmlns:a16="http://schemas.microsoft.com/office/drawing/2014/main" id="{0ECDD6CF-41DA-4FF1-B984-647127E94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5</xdr:col>
      <xdr:colOff>1126453</xdr:colOff>
      <xdr:row>242</xdr:row>
      <xdr:rowOff>136541</xdr:rowOff>
    </xdr:from>
    <xdr:ext cx="603751" cy="179982"/>
    <xdr:pic>
      <xdr:nvPicPr>
        <xdr:cNvPr id="19" name="Picture 18">
          <a:extLst>
            <a:ext uri="{FF2B5EF4-FFF2-40B4-BE49-F238E27FC236}">
              <a16:creationId xmlns:a16="http://schemas.microsoft.com/office/drawing/2014/main" id="{578EF51C-D764-4624-963F-45E562D014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88175" y="20200332"/>
          <a:ext cx="603751" cy="179982"/>
        </a:xfrm>
        <a:prstGeom prst="rect">
          <a:avLst/>
        </a:prstGeom>
      </xdr:spPr>
    </xdr:pic>
    <xdr:clientData/>
  </xdr:oneCellAnchor>
  <xdr:oneCellAnchor>
    <xdr:from>
      <xdr:col>9</xdr:col>
      <xdr:colOff>124732</xdr:colOff>
      <xdr:row>242</xdr:row>
      <xdr:rowOff>113094</xdr:rowOff>
    </xdr:from>
    <xdr:ext cx="198840" cy="203428"/>
    <xdr:pic>
      <xdr:nvPicPr>
        <xdr:cNvPr id="20" name="Picture 19">
          <a:extLst>
            <a:ext uri="{FF2B5EF4-FFF2-40B4-BE49-F238E27FC236}">
              <a16:creationId xmlns:a16="http://schemas.microsoft.com/office/drawing/2014/main" id="{EDA8BE72-DD50-405A-A847-0B304BA1850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593410" y="20176885"/>
          <a:ext cx="198840" cy="203428"/>
        </a:xfrm>
        <a:prstGeom prst="rect">
          <a:avLst/>
        </a:prstGeom>
      </xdr:spPr>
    </xdr:pic>
    <xdr:clientData/>
  </xdr:oneCellAnchor>
  <xdr:twoCellAnchor>
    <xdr:from>
      <xdr:col>2</xdr:col>
      <xdr:colOff>27581</xdr:colOff>
      <xdr:row>268</xdr:row>
      <xdr:rowOff>67344</xdr:rowOff>
    </xdr:from>
    <xdr:to>
      <xdr:col>3</xdr:col>
      <xdr:colOff>1029611</xdr:colOff>
      <xdr:row>281</xdr:row>
      <xdr:rowOff>46548</xdr:rowOff>
    </xdr:to>
    <xdr:graphicFrame macro="">
      <xdr:nvGraphicFramePr>
        <xdr:cNvPr id="21" name="Chart 20">
          <a:extLst>
            <a:ext uri="{FF2B5EF4-FFF2-40B4-BE49-F238E27FC236}">
              <a16:creationId xmlns:a16="http://schemas.microsoft.com/office/drawing/2014/main" id="{2EB5A163-0A27-437E-B131-73D1B4CFF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63440</xdr:colOff>
      <xdr:row>268</xdr:row>
      <xdr:rowOff>85274</xdr:rowOff>
    </xdr:from>
    <xdr:to>
      <xdr:col>8</xdr:col>
      <xdr:colOff>110729</xdr:colOff>
      <xdr:row>281</xdr:row>
      <xdr:rowOff>64477</xdr:rowOff>
    </xdr:to>
    <xdr:graphicFrame macro="">
      <xdr:nvGraphicFramePr>
        <xdr:cNvPr id="23" name="Chart 22">
          <a:extLst>
            <a:ext uri="{FF2B5EF4-FFF2-40B4-BE49-F238E27FC236}">
              <a16:creationId xmlns:a16="http://schemas.microsoft.com/office/drawing/2014/main" id="{93830A82-A770-46FA-8002-E705C0AE2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129540</xdr:colOff>
      <xdr:row>13</xdr:row>
      <xdr:rowOff>41910</xdr:rowOff>
    </xdr:from>
    <xdr:to>
      <xdr:col>8</xdr:col>
      <xdr:colOff>1150620</xdr:colOff>
      <xdr:row>24</xdr:row>
      <xdr:rowOff>160020</xdr:rowOff>
    </xdr:to>
    <xdr:graphicFrame macro="">
      <xdr:nvGraphicFramePr>
        <xdr:cNvPr id="4" name="Chart 3">
          <a:extLst>
            <a:ext uri="{FF2B5EF4-FFF2-40B4-BE49-F238E27FC236}">
              <a16:creationId xmlns:a16="http://schemas.microsoft.com/office/drawing/2014/main" id="{BEE54109-2B9B-47FE-80E3-D985F8429E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0</xdr:colOff>
      <xdr:row>0</xdr:row>
      <xdr:rowOff>30480</xdr:rowOff>
    </xdr:from>
    <xdr:to>
      <xdr:col>2</xdr:col>
      <xdr:colOff>1045946</xdr:colOff>
      <xdr:row>3</xdr:row>
      <xdr:rowOff>178200</xdr:rowOff>
    </xdr:to>
    <xdr:pic>
      <xdr:nvPicPr>
        <xdr:cNvPr id="2" name="Picture 1">
          <a:extLst>
            <a:ext uri="{FF2B5EF4-FFF2-40B4-BE49-F238E27FC236}">
              <a16:creationId xmlns:a16="http://schemas.microsoft.com/office/drawing/2014/main" id="{71F92416-03B7-4E0D-BA2C-3AAFAE82E08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594360" y="30480"/>
          <a:ext cx="1045946" cy="86400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0.66649</cdr:x>
      <cdr:y>0.21747</cdr:y>
    </cdr:from>
    <cdr:to>
      <cdr:x>0.8752</cdr:x>
      <cdr:y>0.29476</cdr:y>
    </cdr:to>
    <cdr:pic>
      <cdr:nvPicPr>
        <cdr:cNvPr id="2" name="Picture 1">
          <a:extLst xmlns:a="http://schemas.openxmlformats.org/drawingml/2006/main">
            <a:ext uri="{FF2B5EF4-FFF2-40B4-BE49-F238E27FC236}">
              <a16:creationId xmlns:a16="http://schemas.microsoft.com/office/drawing/2014/main" id="{A8101DCA-772A-42DA-AA5B-CFF7872BCC6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2103653" y="499591"/>
          <a:ext cx="658763" cy="177551"/>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s@oe2.de" TargetMode="External"/><Relationship Id="rId1" Type="http://schemas.openxmlformats.org/officeDocument/2006/relationships/hyperlink" Target="mailto:sas@oe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s://www.atmosfair.de/de/kompensieren/flug/"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1.bin"/><Relationship Id="rId1" Type="http://schemas.openxmlformats.org/officeDocument/2006/relationships/hyperlink" Target="https://www.ifeu.de/projekt/oekologischer-fussabdruck-von-lebensmitteln-und-gerichten-in-deutschland/"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umweltbundesamt.de/bild/vergleich-der-durchschnittlichen-emissionen-0" TargetMode="External"/><Relationship Id="rId13" Type="http://schemas.openxmlformats.org/officeDocument/2006/relationships/hyperlink" Target="https://www.umweltbundesamt.de/themen/klima-energie/energieversorgung/strom-waermeversorgung-in-zahlen" TargetMode="External"/><Relationship Id="rId18" Type="http://schemas.openxmlformats.org/officeDocument/2006/relationships/hyperlink" Target="https://www.umweltbundesamt.de/bild/vergleich-der-durchschnittlichen-emissionen-0" TargetMode="External"/><Relationship Id="rId26" Type="http://schemas.openxmlformats.org/officeDocument/2006/relationships/hyperlink" Target="https://www.umweltbundesamt.de/umwelttipps-fuer-den-alltag/mobilitaet/flugreisen" TargetMode="External"/><Relationship Id="rId39" Type="http://schemas.openxmlformats.org/officeDocument/2006/relationships/hyperlink" Target="https://www.umweltbundesamt.de/sites/default/files/medien/366/bilder/dateien/uba_emissionstabelle_personenverkehr_2022_0.pdf" TargetMode="External"/><Relationship Id="rId3" Type="http://schemas.openxmlformats.org/officeDocument/2006/relationships/hyperlink" Target="https://wupperinst.org/uploads/tx_wupperinst/Elektromobilitaet_TB_Vergleichsfahrzeuge.pdf" TargetMode="External"/><Relationship Id="rId21" Type="http://schemas.openxmlformats.org/officeDocument/2006/relationships/hyperlink" Target="https://www.umweltbundesamt.de/bild/vergleich-der-durchschnittlichen-emissionen-0" TargetMode="External"/><Relationship Id="rId34" Type="http://schemas.openxmlformats.org/officeDocument/2006/relationships/hyperlink" Target="https://www.umweltbundesamt.de/themen/klima-energie/energieversorgung/strom-waermeversorgung-in-zahlen" TargetMode="External"/><Relationship Id="rId42" Type="http://schemas.openxmlformats.org/officeDocument/2006/relationships/hyperlink" Target="https://www.umweltbundesamt.de/bild/vergleich-der-durchschnittlichen-emissionen-0" TargetMode="External"/><Relationship Id="rId47" Type="http://schemas.openxmlformats.org/officeDocument/2006/relationships/printerSettings" Target="../printerSettings/printerSettings15.bin"/><Relationship Id="rId7" Type="http://schemas.openxmlformats.org/officeDocument/2006/relationships/hyperlink" Target="https://www.umweltbundesamt.de/bild/vergleich-der-durchschnittlichen-emissionen-0" TargetMode="External"/><Relationship Id="rId12" Type="http://schemas.openxmlformats.org/officeDocument/2006/relationships/hyperlink" Target="https://www.umweltbundesamt.de/themen/klima-energie/energieversorgung/strom-waermeversorgung-in-zahlen" TargetMode="External"/><Relationship Id="rId17" Type="http://schemas.openxmlformats.org/officeDocument/2006/relationships/hyperlink" Target="https://www.umweltbundesamt.de/bild/vergleich-der-durchschnittlichen-emissionen-0" TargetMode="External"/><Relationship Id="rId25" Type="http://schemas.openxmlformats.org/officeDocument/2006/relationships/hyperlink" Target="https://www.umweltbundesamt.de/bild/vergleich-der-durchschnittlichen-emissionen-0" TargetMode="External"/><Relationship Id="rId33" Type="http://schemas.openxmlformats.org/officeDocument/2006/relationships/hyperlink" Target="https://www.oeko.de/fileadmin/oekodoc/Digitaler-CO2-Fussabdruck.pdf" TargetMode="External"/><Relationship Id="rId38" Type="http://schemas.openxmlformats.org/officeDocument/2006/relationships/hyperlink" Target="https://www.umweltbundesamt.de/sites/default/files/medien/366/bilder/dateien/uba_emissionstabelle_personenverkehr_2022_0.pdf" TargetMode="External"/><Relationship Id="rId46" Type="http://schemas.openxmlformats.org/officeDocument/2006/relationships/hyperlink" Target="https://www.umweltbundesamt.de/bild/vergleich-der-durchschnittlichen-emissionen-0" TargetMode="External"/><Relationship Id="rId2" Type="http://schemas.openxmlformats.org/officeDocument/2006/relationships/hyperlink" Target="http://iinas.org/tl_files/iinas/downloads/GEMIS/2007_thg_fossil_BGW.pdf" TargetMode="External"/><Relationship Id="rId16" Type="http://schemas.openxmlformats.org/officeDocument/2006/relationships/hyperlink" Target="https://www.umweltbundesamt.de/bild/vergleich-der-durchschnittlichen-emissionen-0" TargetMode="External"/><Relationship Id="rId20" Type="http://schemas.openxmlformats.org/officeDocument/2006/relationships/hyperlink" Target="https://www.umweltbundesamt.de/bild/vergleich-der-durchschnittlichen-emissionen-0" TargetMode="External"/><Relationship Id="rId29" Type="http://schemas.openxmlformats.org/officeDocument/2006/relationships/hyperlink" Target="https://www.papiernetz.de/informationen/nachhaltigkeitsrechner/" TargetMode="External"/><Relationship Id="rId41" Type="http://schemas.openxmlformats.org/officeDocument/2006/relationships/hyperlink" Target="https://www.umweltbundesamt.de/sites/default/files/medien/366/bilder/dateien/uba_emissionstabelle_personenverkehr_2022_0.pdf" TargetMode="External"/><Relationship Id="rId1" Type="http://schemas.openxmlformats.org/officeDocument/2006/relationships/hyperlink" Target="http://iinas.org/tl_files/iinas/downloads/GEMIS/2007_thg_fossil_BGW.pdf" TargetMode="External"/><Relationship Id="rId6" Type="http://schemas.openxmlformats.org/officeDocument/2006/relationships/hyperlink" Target="https://www.umweltbundesamt.de/bild/vergleich-der-durchschnittlichen-emissionen-0" TargetMode="External"/><Relationship Id="rId11" Type="http://schemas.openxmlformats.org/officeDocument/2006/relationships/hyperlink" Target="https://www.umweltbundesamt.de/themen/klima-energie/energieversorgung/strom-waermeversorgung-in-zahlen" TargetMode="External"/><Relationship Id="rId24" Type="http://schemas.openxmlformats.org/officeDocument/2006/relationships/hyperlink" Target="https://www.umweltbundesamt.de/bild/vergleich-der-durchschnittlichen-emissionen-0" TargetMode="External"/><Relationship Id="rId32" Type="http://schemas.openxmlformats.org/officeDocument/2006/relationships/hyperlink" Target="https://www.oeko.de/oekodoc/1029/2010-081-de.pdf" TargetMode="External"/><Relationship Id="rId37" Type="http://schemas.openxmlformats.org/officeDocument/2006/relationships/hyperlink" Target="https://www.umweltbundesamt.de/sites/default/files/medien/366/bilder/dateien/uba_emissionstabelle_personenverkehr_2022_0.pdf" TargetMode="External"/><Relationship Id="rId40" Type="http://schemas.openxmlformats.org/officeDocument/2006/relationships/hyperlink" Target="https://www.umweltbundesamt.de/sites/default/files/medien/366/bilder/dateien/uba_emissionstabelle_personenverkehr_2022_0.pdf" TargetMode="External"/><Relationship Id="rId45" Type="http://schemas.openxmlformats.org/officeDocument/2006/relationships/hyperlink" Target="https://www.umweltbundesamt.de/bild/vergleich-der-durchschnittlichen-emissionen-0" TargetMode="External"/><Relationship Id="rId5" Type="http://schemas.openxmlformats.org/officeDocument/2006/relationships/hyperlink" Target="https://www.umweltbundesamt.de/bild/vergleich-der-durchschnittlichen-emissionen-0" TargetMode="External"/><Relationship Id="rId15" Type="http://schemas.openxmlformats.org/officeDocument/2006/relationships/hyperlink" Target="https://www.umweltbundesamt.de/bild/vergleich-der-durchschnittlichen-emissionen-0" TargetMode="External"/><Relationship Id="rId23" Type="http://schemas.openxmlformats.org/officeDocument/2006/relationships/hyperlink" Target="https://www.umweltbundesamt.de/bild/vergleich-der-durchschnittlichen-emissionen-0" TargetMode="External"/><Relationship Id="rId28" Type="http://schemas.openxmlformats.org/officeDocument/2006/relationships/hyperlink" Target="https://atiptap.org/files/studie_gutcert_pcf_wasser.pdf" TargetMode="External"/><Relationship Id="rId36" Type="http://schemas.openxmlformats.org/officeDocument/2006/relationships/hyperlink" Target="https://www.umweltbundesamt.de/sites/default/files/medien/366/bilder/dateien/uba_emissionstabelle_personenverkehr_2022_0.pdf" TargetMode="External"/><Relationship Id="rId10" Type="http://schemas.openxmlformats.org/officeDocument/2006/relationships/hyperlink" Target="https://www.umweltbundesamt.de/bild/vergleich-der-durchschnittlichen-emissionen-0" TargetMode="External"/><Relationship Id="rId19" Type="http://schemas.openxmlformats.org/officeDocument/2006/relationships/hyperlink" Target="https://www.umweltbundesamt.de/bild/vergleich-der-durchschnittlichen-emissionen-0" TargetMode="External"/><Relationship Id="rId31" Type="http://schemas.openxmlformats.org/officeDocument/2006/relationships/hyperlink" Target="https://www.oeko.de/oekodoc/1029/2010-081-de.pdf" TargetMode="External"/><Relationship Id="rId44" Type="http://schemas.openxmlformats.org/officeDocument/2006/relationships/hyperlink" Target="https://www.umweltbundesamt.de/bild/vergleich-der-durchschnittlichen-emissionen-0" TargetMode="External"/><Relationship Id="rId4" Type="http://schemas.openxmlformats.org/officeDocument/2006/relationships/hyperlink" Target="https://wupperinst.org/uploads/tx_wupperinst/Elektromobilitaet_TB_Vergleichsfahrzeuge.pdf" TargetMode="External"/><Relationship Id="rId9" Type="http://schemas.openxmlformats.org/officeDocument/2006/relationships/hyperlink" Target="https://www.umweltbundesamt.de/bild/vergleich-der-durchschnittlichen-emissionen-0" TargetMode="External"/><Relationship Id="rId14" Type="http://schemas.openxmlformats.org/officeDocument/2006/relationships/hyperlink" Target="https://www.umweltbundesamt.de/themen/klima-energie/energieversorgung/strom-waermeversorgung-in-zahlen" TargetMode="External"/><Relationship Id="rId22" Type="http://schemas.openxmlformats.org/officeDocument/2006/relationships/hyperlink" Target="https://www.umweltbundesamt.de/bild/vergleich-der-durchschnittlichen-emissionen-0" TargetMode="External"/><Relationship Id="rId27" Type="http://schemas.openxmlformats.org/officeDocument/2006/relationships/hyperlink" Target="https://www.umweltbundesamt.de/umwelttipps-fuer-den-alltag/mobilitaet/flugreisen" TargetMode="External"/><Relationship Id="rId30" Type="http://schemas.openxmlformats.org/officeDocument/2006/relationships/hyperlink" Target="https://www.papiernetz.de/informationen/nachhaltigkeitsrechner/" TargetMode="External"/><Relationship Id="rId35" Type="http://schemas.openxmlformats.org/officeDocument/2006/relationships/hyperlink" Target="https://www.umweltbundesamt.de/umwelttipps-fuer-den-alltag/mobilitaet/flugreisen" TargetMode="External"/><Relationship Id="rId43" Type="http://schemas.openxmlformats.org/officeDocument/2006/relationships/hyperlink" Target="https://www.umweltbundesamt.de/bild/vergleich-der-durchschnittlichen-emissionen-0" TargetMode="External"/><Relationship Id="rId48"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umweltbundesamt.de/bild/vergleich-der-durchschnittlichen-emissionen-0" TargetMode="External"/><Relationship Id="rId13" Type="http://schemas.openxmlformats.org/officeDocument/2006/relationships/hyperlink" Target="https://www.papiernetz.de/informationen/nachhaltigkeitsrechner/" TargetMode="External"/><Relationship Id="rId18" Type="http://schemas.openxmlformats.org/officeDocument/2006/relationships/drawing" Target="../drawings/drawing20.xml"/><Relationship Id="rId3" Type="http://schemas.openxmlformats.org/officeDocument/2006/relationships/hyperlink" Target="https://wupperinst.org/uploads/tx_wupperinst/Elektromobilitaet_TB_Vergleichsfahrzeuge.pdf" TargetMode="External"/><Relationship Id="rId7" Type="http://schemas.openxmlformats.org/officeDocument/2006/relationships/hyperlink" Target="https://www.umweltbundesamt.de/bild/vergleich-der-durchschnittlichen-emissionen-0" TargetMode="External"/><Relationship Id="rId12" Type="http://schemas.openxmlformats.org/officeDocument/2006/relationships/hyperlink" Target="https://www.papiernetz.de/informationen/nachhaltigkeitsrechner/" TargetMode="External"/><Relationship Id="rId17" Type="http://schemas.openxmlformats.org/officeDocument/2006/relationships/printerSettings" Target="../printerSettings/printerSettings16.bin"/><Relationship Id="rId2" Type="http://schemas.openxmlformats.org/officeDocument/2006/relationships/hyperlink" Target="http://iinas.org/tl_files/iinas/downloads/GEMIS/2007_thg_fossil_BGW.pdf" TargetMode="External"/><Relationship Id="rId16" Type="http://schemas.openxmlformats.org/officeDocument/2006/relationships/hyperlink" Target="https://www.oeko.de/fileadmin/oekodoc/Digitaler-CO2-Fussabdruck.pdf" TargetMode="External"/><Relationship Id="rId1" Type="http://schemas.openxmlformats.org/officeDocument/2006/relationships/hyperlink" Target="http://iinas.org/tl_files/iinas/downloads/GEMIS/2007_thg_fossil_BGW.pdf" TargetMode="External"/><Relationship Id="rId6" Type="http://schemas.openxmlformats.org/officeDocument/2006/relationships/hyperlink" Target="https://www.umweltbundesamt.de/bild/vergleich-der-durchschnittlichen-emissionen-0" TargetMode="External"/><Relationship Id="rId11" Type="http://schemas.openxmlformats.org/officeDocument/2006/relationships/hyperlink" Target="https://atiptap.org/files/studie_gutcert_pcf_wasser.pdf" TargetMode="External"/><Relationship Id="rId5" Type="http://schemas.openxmlformats.org/officeDocument/2006/relationships/hyperlink" Target="https://www.umweltbundesamt.de/bild/vergleich-der-durchschnittlichen-emissionen-0" TargetMode="External"/><Relationship Id="rId15" Type="http://schemas.openxmlformats.org/officeDocument/2006/relationships/hyperlink" Target="https://www.oeko.de/oekodoc/1029/2010-081-de.pdf" TargetMode="External"/><Relationship Id="rId10" Type="http://schemas.openxmlformats.org/officeDocument/2006/relationships/hyperlink" Target="https://www.umweltbundesamt.de/bild/vergleich-der-durchschnittlichen-emissionen-0" TargetMode="External"/><Relationship Id="rId4" Type="http://schemas.openxmlformats.org/officeDocument/2006/relationships/hyperlink" Target="https://wupperinst.org/uploads/tx_wupperinst/Elektromobilitaet_TB_Vergleichsfahrzeuge.pdf" TargetMode="External"/><Relationship Id="rId9" Type="http://schemas.openxmlformats.org/officeDocument/2006/relationships/hyperlink" Target="https://www.umweltbundesamt.de/bild/vergleich-der-durchschnittlichen-emissionen-0" TargetMode="External"/><Relationship Id="rId14" Type="http://schemas.openxmlformats.org/officeDocument/2006/relationships/hyperlink" Target="https://www.oeko.de/oekodoc/1029/2010-081-de.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docs.google.com/spreadsheets/d/13ZXO38m2Az4dYRd7UD_aQs1_p-rDuk9diI-ucnfObow/edit?usp=sharing" TargetMode="External"/><Relationship Id="rId1" Type="http://schemas.openxmlformats.org/officeDocument/2006/relationships/hyperlink" Target="https://forms.gle/zxrpxFPEmAA6spZU9"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4"/>
  </sheetPr>
  <dimension ref="A1:P148"/>
  <sheetViews>
    <sheetView showGridLines="0" topLeftCell="A4" zoomScale="130" zoomScaleNormal="130" workbookViewId="0">
      <selection activeCell="J10" sqref="J10"/>
    </sheetView>
  </sheetViews>
  <sheetFormatPr baseColWidth="10" defaultColWidth="0" defaultRowHeight="14.4" zeroHeight="1" x14ac:dyDescent="0.3"/>
  <cols>
    <col min="1" max="1" width="6" customWidth="1"/>
    <col min="2" max="2" width="1.33203125" customWidth="1"/>
    <col min="3" max="3" width="2" customWidth="1"/>
    <col min="4" max="4" width="33.6640625" customWidth="1"/>
    <col min="5" max="5" width="3.88671875" customWidth="1"/>
    <col min="6" max="7" width="7" customWidth="1"/>
    <col min="8" max="8" width="7.88671875" customWidth="1"/>
    <col min="9" max="14" width="7" customWidth="1"/>
    <col min="15" max="16" width="8.88671875" hidden="1" customWidth="1"/>
    <col min="17" max="16384" width="8.88671875" hidden="1"/>
  </cols>
  <sheetData>
    <row r="1" spans="1:16" ht="12" customHeight="1" x14ac:dyDescent="0.3">
      <c r="A1" s="1"/>
      <c r="B1" s="1"/>
      <c r="C1" s="1"/>
      <c r="D1" s="1"/>
      <c r="E1" s="1"/>
      <c r="F1" s="1"/>
      <c r="G1" s="1"/>
      <c r="H1" s="1"/>
      <c r="I1" s="1"/>
      <c r="J1" s="1"/>
      <c r="K1" s="1"/>
      <c r="L1" s="1"/>
      <c r="M1" s="1"/>
      <c r="N1" s="1"/>
      <c r="O1" s="1"/>
      <c r="P1" s="1"/>
    </row>
    <row r="2" spans="1:16" ht="12" customHeight="1" x14ac:dyDescent="0.3">
      <c r="A2" s="1"/>
      <c r="B2" s="1"/>
      <c r="C2" s="1"/>
      <c r="D2" s="1"/>
      <c r="E2" s="1"/>
      <c r="F2" s="1"/>
      <c r="G2" s="1"/>
      <c r="H2" s="1"/>
      <c r="I2" s="1"/>
      <c r="J2" s="1"/>
      <c r="K2" s="1"/>
      <c r="L2" s="1"/>
      <c r="M2" s="1"/>
      <c r="N2" s="1"/>
      <c r="O2" s="1"/>
      <c r="P2" s="1"/>
    </row>
    <row r="3" spans="1:16" ht="29.4" customHeight="1" x14ac:dyDescent="0.75">
      <c r="A3" s="1"/>
      <c r="B3" s="1"/>
      <c r="C3" s="1"/>
      <c r="D3" s="1"/>
      <c r="E3" s="2" t="s">
        <v>624</v>
      </c>
      <c r="F3" s="1"/>
      <c r="G3" s="1"/>
      <c r="H3" s="1"/>
      <c r="I3" s="1"/>
      <c r="J3" s="1"/>
      <c r="K3" s="2"/>
      <c r="L3" s="1"/>
      <c r="M3" s="1"/>
      <c r="N3" s="1"/>
      <c r="O3" s="1"/>
      <c r="P3" s="1"/>
    </row>
    <row r="4" spans="1:16" ht="21" customHeight="1" thickBot="1" x14ac:dyDescent="0.4">
      <c r="A4" s="245"/>
      <c r="B4" s="245"/>
      <c r="C4" s="245"/>
      <c r="D4" s="246"/>
      <c r="E4" s="246" t="str">
        <f>NameDerSchule</f>
        <v>Schule ABC</v>
      </c>
      <c r="F4" s="245"/>
      <c r="G4" s="245"/>
      <c r="H4" s="245"/>
      <c r="I4" s="245"/>
      <c r="J4" s="245"/>
      <c r="K4" s="245"/>
      <c r="L4" s="245"/>
      <c r="M4" s="245"/>
      <c r="N4" s="245"/>
      <c r="O4" s="14"/>
      <c r="P4" s="14"/>
    </row>
    <row r="5" spans="1:16" ht="15" thickTop="1" x14ac:dyDescent="0.3"/>
    <row r="6" spans="1:16" x14ac:dyDescent="0.3"/>
    <row r="7" spans="1:16" ht="23.4" x14ac:dyDescent="0.45">
      <c r="D7" s="4" t="s">
        <v>0</v>
      </c>
    </row>
    <row r="8" spans="1:16" x14ac:dyDescent="0.3"/>
    <row r="9" spans="1:16" x14ac:dyDescent="0.3"/>
    <row r="10" spans="1:16" ht="18" thickBot="1" x14ac:dyDescent="0.4">
      <c r="B10" s="5"/>
      <c r="D10" s="3" t="s">
        <v>3</v>
      </c>
      <c r="E10" s="3"/>
      <c r="F10" s="3"/>
      <c r="G10" s="3"/>
      <c r="H10" s="3"/>
      <c r="I10" s="3"/>
      <c r="J10" s="3"/>
    </row>
    <row r="11" spans="1:16" ht="15" thickTop="1" x14ac:dyDescent="0.3">
      <c r="B11" s="5"/>
      <c r="D11" s="201" t="s">
        <v>102</v>
      </c>
    </row>
    <row r="12" spans="1:16" x14ac:dyDescent="0.3">
      <c r="B12" s="5"/>
      <c r="D12" s="26" t="s">
        <v>4</v>
      </c>
    </row>
    <row r="13" spans="1:16" x14ac:dyDescent="0.3">
      <c r="B13" s="5"/>
      <c r="D13" s="201" t="s">
        <v>1276</v>
      </c>
    </row>
    <row r="14" spans="1:16" x14ac:dyDescent="0.3">
      <c r="B14" s="5"/>
      <c r="D14" s="201" t="s">
        <v>480</v>
      </c>
    </row>
    <row r="15" spans="1:16" x14ac:dyDescent="0.3"/>
    <row r="16" spans="1:16" ht="18" thickBot="1" x14ac:dyDescent="0.4">
      <c r="B16" s="315"/>
      <c r="D16" s="3" t="s">
        <v>727</v>
      </c>
      <c r="E16" s="3"/>
      <c r="F16" s="3"/>
      <c r="G16" s="3"/>
      <c r="H16" s="3"/>
      <c r="I16" s="3"/>
      <c r="J16" s="3"/>
    </row>
    <row r="17" spans="2:10" ht="15" thickTop="1" x14ac:dyDescent="0.3">
      <c r="B17" s="315"/>
      <c r="D17" s="26" t="s">
        <v>5</v>
      </c>
    </row>
    <row r="18" spans="2:10" x14ac:dyDescent="0.3">
      <c r="B18" s="315"/>
      <c r="D18" s="26" t="s">
        <v>6</v>
      </c>
    </row>
    <row r="19" spans="2:10" x14ac:dyDescent="0.3">
      <c r="B19" s="315"/>
      <c r="D19" s="26" t="s">
        <v>7</v>
      </c>
    </row>
    <row r="20" spans="2:10" x14ac:dyDescent="0.3"/>
    <row r="21" spans="2:10" ht="18" thickBot="1" x14ac:dyDescent="0.4">
      <c r="B21" s="320"/>
      <c r="D21" s="3" t="s">
        <v>728</v>
      </c>
      <c r="E21" s="3"/>
      <c r="F21" s="3"/>
      <c r="G21" s="3"/>
      <c r="H21" s="3"/>
      <c r="I21" s="3"/>
      <c r="J21" s="3"/>
    </row>
    <row r="22" spans="2:10" ht="15" thickTop="1" x14ac:dyDescent="0.3">
      <c r="B22" s="320"/>
      <c r="D22" s="201" t="s">
        <v>1254</v>
      </c>
    </row>
    <row r="23" spans="2:10" x14ac:dyDescent="0.3">
      <c r="B23" s="320"/>
      <c r="D23" s="201" t="s">
        <v>1255</v>
      </c>
    </row>
    <row r="24" spans="2:10" x14ac:dyDescent="0.3">
      <c r="B24" s="320"/>
      <c r="D24" s="201" t="s">
        <v>1401</v>
      </c>
    </row>
    <row r="25" spans="2:10" x14ac:dyDescent="0.3">
      <c r="B25" s="320"/>
      <c r="D25" s="201" t="s">
        <v>1402</v>
      </c>
    </row>
    <row r="26" spans="2:10" x14ac:dyDescent="0.3">
      <c r="B26" s="320"/>
      <c r="D26" s="201" t="s">
        <v>8</v>
      </c>
    </row>
    <row r="27" spans="2:10" x14ac:dyDescent="0.3">
      <c r="B27" s="320"/>
      <c r="D27" s="201" t="s">
        <v>554</v>
      </c>
    </row>
    <row r="28" spans="2:10" x14ac:dyDescent="0.3"/>
    <row r="29" spans="2:10" ht="18" thickBot="1" x14ac:dyDescent="0.4">
      <c r="B29" s="321"/>
      <c r="D29" s="3" t="s">
        <v>117</v>
      </c>
      <c r="E29" s="3"/>
      <c r="F29" s="3"/>
      <c r="G29" s="3"/>
      <c r="H29" s="3"/>
      <c r="I29" s="3"/>
      <c r="J29" s="3"/>
    </row>
    <row r="30" spans="2:10" ht="15" thickTop="1" x14ac:dyDescent="0.3">
      <c r="B30" s="321"/>
      <c r="D30" s="201" t="s">
        <v>1219</v>
      </c>
    </row>
    <row r="31" spans="2:10" x14ac:dyDescent="0.3">
      <c r="B31" s="321"/>
      <c r="D31" s="201" t="s">
        <v>1497</v>
      </c>
    </row>
    <row r="32" spans="2:10" x14ac:dyDescent="0.3">
      <c r="B32" s="321"/>
      <c r="D32" s="201" t="s">
        <v>1150</v>
      </c>
    </row>
    <row r="33" spans="2:13" x14ac:dyDescent="0.3"/>
    <row r="34" spans="2:13" ht="18" thickBot="1" x14ac:dyDescent="0.4">
      <c r="B34" s="322"/>
      <c r="D34" s="3" t="s">
        <v>340</v>
      </c>
      <c r="E34" s="3"/>
      <c r="F34" s="3"/>
      <c r="G34" s="3"/>
      <c r="H34" s="3"/>
      <c r="I34" s="3"/>
      <c r="J34" s="3"/>
    </row>
    <row r="35" spans="2:13" ht="15" thickTop="1" x14ac:dyDescent="0.3">
      <c r="B35" s="322"/>
      <c r="D35" s="201" t="s">
        <v>960</v>
      </c>
    </row>
    <row r="36" spans="2:13" x14ac:dyDescent="0.3">
      <c r="B36" s="322"/>
      <c r="D36" s="201" t="s">
        <v>968</v>
      </c>
    </row>
    <row r="37" spans="2:13" x14ac:dyDescent="0.3">
      <c r="B37" s="322"/>
      <c r="D37" s="201" t="s">
        <v>1054</v>
      </c>
    </row>
    <row r="38" spans="2:13" x14ac:dyDescent="0.3">
      <c r="B38" s="322"/>
      <c r="D38" s="201" t="s">
        <v>1146</v>
      </c>
    </row>
    <row r="39" spans="2:13" x14ac:dyDescent="0.3">
      <c r="B39" s="322"/>
      <c r="D39" s="201" t="s">
        <v>1147</v>
      </c>
    </row>
    <row r="40" spans="2:13" x14ac:dyDescent="0.3">
      <c r="B40" s="322"/>
      <c r="D40" s="201" t="s">
        <v>1148</v>
      </c>
    </row>
    <row r="41" spans="2:13" x14ac:dyDescent="0.3"/>
    <row r="42" spans="2:13" ht="18" thickBot="1" x14ac:dyDescent="0.4">
      <c r="B42" s="6"/>
      <c r="D42" s="3" t="s">
        <v>9</v>
      </c>
      <c r="E42" s="3"/>
      <c r="F42" s="3"/>
      <c r="G42" s="3"/>
      <c r="H42" s="3"/>
      <c r="I42" s="3"/>
      <c r="J42" s="3"/>
    </row>
    <row r="43" spans="2:13" ht="15" thickTop="1" x14ac:dyDescent="0.3">
      <c r="B43" s="6"/>
      <c r="D43" s="26" t="s">
        <v>64</v>
      </c>
    </row>
    <row r="44" spans="2:13" x14ac:dyDescent="0.3">
      <c r="B44" s="6"/>
      <c r="D44" s="26" t="s">
        <v>1447</v>
      </c>
    </row>
    <row r="45" spans="2:13" x14ac:dyDescent="0.3"/>
    <row r="46" spans="2:13" x14ac:dyDescent="0.3"/>
    <row r="47" spans="2:13" x14ac:dyDescent="0.3">
      <c r="B47" s="565" t="s">
        <v>588</v>
      </c>
      <c r="C47" s="566"/>
      <c r="D47" s="566"/>
      <c r="E47" s="566"/>
      <c r="F47" s="566"/>
      <c r="G47" s="566"/>
      <c r="H47" s="566"/>
      <c r="I47" s="566"/>
      <c r="J47" s="566"/>
      <c r="K47" s="566"/>
      <c r="L47" s="566"/>
      <c r="M47" s="567"/>
    </row>
    <row r="48" spans="2:13" ht="14.4" customHeight="1" x14ac:dyDescent="0.3">
      <c r="B48" s="312"/>
      <c r="C48" s="313"/>
      <c r="D48" s="313"/>
      <c r="E48" s="313"/>
      <c r="F48" s="313"/>
      <c r="G48" s="313"/>
      <c r="H48" s="313"/>
      <c r="I48" s="313"/>
      <c r="J48" s="313"/>
      <c r="K48" s="313"/>
      <c r="L48" s="313"/>
      <c r="M48" s="314"/>
    </row>
    <row r="49" spans="2:13" ht="24" customHeight="1" x14ac:dyDescent="0.3">
      <c r="B49" s="312"/>
      <c r="C49" s="313"/>
      <c r="D49" s="561" t="s">
        <v>1282</v>
      </c>
      <c r="E49" s="562"/>
      <c r="F49" s="562"/>
      <c r="G49" s="562"/>
      <c r="H49" s="562"/>
      <c r="I49" s="313"/>
      <c r="J49" s="313"/>
      <c r="K49" s="313"/>
      <c r="L49" s="313"/>
      <c r="M49" s="314"/>
    </row>
    <row r="50" spans="2:13" ht="24" customHeight="1" x14ac:dyDescent="0.3">
      <c r="B50" s="312"/>
      <c r="C50" s="313"/>
      <c r="D50" s="562"/>
      <c r="E50" s="562"/>
      <c r="F50" s="562"/>
      <c r="G50" s="562"/>
      <c r="H50" s="562"/>
      <c r="I50" s="313"/>
      <c r="J50" s="313"/>
      <c r="K50" s="313"/>
      <c r="L50" s="313"/>
      <c r="M50" s="314"/>
    </row>
    <row r="51" spans="2:13" ht="24" customHeight="1" x14ac:dyDescent="0.3">
      <c r="B51" s="312"/>
      <c r="C51" s="313"/>
      <c r="D51" s="562"/>
      <c r="E51" s="562"/>
      <c r="F51" s="562"/>
      <c r="G51" s="562"/>
      <c r="H51" s="562"/>
      <c r="I51" s="313"/>
      <c r="J51" s="313"/>
      <c r="K51" s="313"/>
      <c r="L51" s="313"/>
      <c r="M51" s="314"/>
    </row>
    <row r="52" spans="2:13" ht="24.6" customHeight="1" x14ac:dyDescent="0.3">
      <c r="B52" s="312"/>
      <c r="C52" s="313"/>
      <c r="D52" s="562"/>
      <c r="E52" s="562"/>
      <c r="F52" s="562"/>
      <c r="G52" s="562"/>
      <c r="H52" s="562"/>
      <c r="I52" s="313"/>
      <c r="J52" s="313"/>
      <c r="K52" s="313"/>
      <c r="L52" s="313"/>
      <c r="M52" s="314"/>
    </row>
    <row r="53" spans="2:13" ht="18" customHeight="1" x14ac:dyDescent="0.3">
      <c r="B53" s="312"/>
      <c r="C53" s="313"/>
      <c r="D53" s="562"/>
      <c r="E53" s="562"/>
      <c r="F53" s="562"/>
      <c r="G53" s="562"/>
      <c r="H53" s="562"/>
      <c r="I53" s="313"/>
      <c r="J53" s="313"/>
      <c r="K53" s="313"/>
      <c r="L53" s="313"/>
      <c r="M53" s="314"/>
    </row>
    <row r="54" spans="2:13" x14ac:dyDescent="0.3">
      <c r="B54" s="312"/>
      <c r="C54" s="313"/>
      <c r="D54" s="313"/>
      <c r="E54" s="313"/>
      <c r="F54" s="313"/>
      <c r="G54" s="313"/>
      <c r="H54" s="313"/>
      <c r="I54" s="313"/>
      <c r="J54" s="313"/>
      <c r="K54" s="313"/>
      <c r="L54" s="313"/>
      <c r="M54" s="314"/>
    </row>
    <row r="55" spans="2:13" x14ac:dyDescent="0.3">
      <c r="B55" s="312"/>
      <c r="C55" s="313"/>
      <c r="D55" s="313"/>
      <c r="E55" s="313"/>
      <c r="F55" s="313"/>
      <c r="G55" s="313"/>
      <c r="H55" s="313"/>
      <c r="I55" s="313"/>
      <c r="J55" s="313"/>
      <c r="K55" s="313"/>
      <c r="L55" s="313"/>
      <c r="M55" s="314"/>
    </row>
    <row r="56" spans="2:13" x14ac:dyDescent="0.3">
      <c r="B56" s="312"/>
      <c r="C56" s="313"/>
      <c r="D56" s="313"/>
      <c r="E56" s="313"/>
      <c r="F56" s="313"/>
      <c r="G56" s="313"/>
      <c r="H56" s="313"/>
      <c r="I56" s="313"/>
      <c r="J56" s="313"/>
      <c r="K56" s="313"/>
      <c r="L56" s="313"/>
      <c r="M56" s="314"/>
    </row>
    <row r="57" spans="2:13" x14ac:dyDescent="0.3">
      <c r="B57" s="312"/>
      <c r="C57" s="313"/>
      <c r="D57" s="313"/>
      <c r="E57" s="313"/>
      <c r="F57" s="313"/>
      <c r="G57" s="313"/>
      <c r="H57" s="313"/>
      <c r="I57" s="313"/>
      <c r="J57" s="313"/>
      <c r="K57" s="313"/>
      <c r="L57" s="313"/>
      <c r="M57" s="314"/>
    </row>
    <row r="58" spans="2:13" ht="27" customHeight="1" x14ac:dyDescent="0.3">
      <c r="B58" s="204"/>
      <c r="M58" s="205"/>
    </row>
    <row r="59" spans="2:13" ht="39.6" customHeight="1" x14ac:dyDescent="0.3">
      <c r="B59" s="204"/>
      <c r="M59" s="205"/>
    </row>
    <row r="60" spans="2:13" ht="39.6" customHeight="1" x14ac:dyDescent="0.3">
      <c r="B60" s="204"/>
      <c r="M60" s="205"/>
    </row>
    <row r="61" spans="2:13" ht="39.6" customHeight="1" x14ac:dyDescent="0.3">
      <c r="B61" s="204"/>
      <c r="M61" s="205"/>
    </row>
    <row r="62" spans="2:13" ht="18" customHeight="1" x14ac:dyDescent="0.3">
      <c r="B62" s="204"/>
      <c r="M62" s="205"/>
    </row>
    <row r="63" spans="2:13" ht="21" customHeight="1" x14ac:dyDescent="0.3">
      <c r="B63" s="204"/>
      <c r="D63" s="561" t="s">
        <v>1380</v>
      </c>
      <c r="E63" s="562"/>
      <c r="F63" s="562"/>
      <c r="G63" s="562"/>
      <c r="H63" s="562"/>
      <c r="M63" s="205"/>
    </row>
    <row r="64" spans="2:13" ht="21" customHeight="1" x14ac:dyDescent="0.3">
      <c r="B64" s="204"/>
      <c r="D64" s="562"/>
      <c r="E64" s="562"/>
      <c r="F64" s="562"/>
      <c r="G64" s="562"/>
      <c r="H64" s="562"/>
      <c r="M64" s="205"/>
    </row>
    <row r="65" spans="2:13" ht="21" customHeight="1" x14ac:dyDescent="0.3">
      <c r="B65" s="204"/>
      <c r="D65" s="562"/>
      <c r="E65" s="562"/>
      <c r="F65" s="562"/>
      <c r="G65" s="562"/>
      <c r="H65" s="562"/>
      <c r="M65" s="205"/>
    </row>
    <row r="66" spans="2:13" ht="10.199999999999999" customHeight="1" x14ac:dyDescent="0.3">
      <c r="B66" s="204"/>
      <c r="D66" s="562"/>
      <c r="E66" s="562"/>
      <c r="F66" s="562"/>
      <c r="G66" s="562"/>
      <c r="H66" s="562"/>
      <c r="M66" s="205"/>
    </row>
    <row r="67" spans="2:13" ht="3.6" customHeight="1" x14ac:dyDescent="0.3">
      <c r="B67" s="206"/>
      <c r="C67" s="247"/>
      <c r="D67" s="574"/>
      <c r="E67" s="574"/>
      <c r="F67" s="574"/>
      <c r="G67" s="574"/>
      <c r="H67" s="574"/>
      <c r="I67" s="247"/>
      <c r="J67" s="247"/>
      <c r="K67" s="247"/>
      <c r="L67" s="247"/>
      <c r="M67" s="248"/>
    </row>
    <row r="68" spans="2:13" ht="7.2" customHeight="1" x14ac:dyDescent="0.3"/>
    <row r="69" spans="2:13" ht="13.2" customHeight="1" x14ac:dyDescent="0.3">
      <c r="B69" s="568" t="s">
        <v>67</v>
      </c>
      <c r="C69" s="569"/>
      <c r="D69" s="569"/>
      <c r="E69" s="569"/>
      <c r="F69" s="569"/>
      <c r="G69" s="569"/>
      <c r="H69" s="569"/>
      <c r="I69" s="569"/>
      <c r="J69" s="569"/>
      <c r="K69" s="569"/>
      <c r="L69" s="569"/>
      <c r="M69" s="570"/>
    </row>
    <row r="70" spans="2:13" ht="7.8" customHeight="1" x14ac:dyDescent="0.3">
      <c r="B70" s="207"/>
      <c r="M70" s="208"/>
    </row>
    <row r="71" spans="2:13" ht="180" customHeight="1" x14ac:dyDescent="0.3">
      <c r="B71" s="209"/>
      <c r="C71" s="210"/>
      <c r="D71" s="210"/>
      <c r="E71" s="210"/>
      <c r="F71" s="571" t="s">
        <v>1240</v>
      </c>
      <c r="G71" s="572"/>
      <c r="H71" s="572"/>
      <c r="I71" s="572"/>
      <c r="J71" s="572"/>
      <c r="K71" s="572"/>
      <c r="L71" s="572"/>
      <c r="M71" s="573"/>
    </row>
    <row r="72" spans="2:13" ht="21.6" customHeight="1" x14ac:dyDescent="0.3"/>
    <row r="73" spans="2:13" ht="21.6" customHeight="1" x14ac:dyDescent="0.3">
      <c r="B73" s="565" t="s">
        <v>3</v>
      </c>
      <c r="C73" s="566"/>
      <c r="D73" s="566"/>
      <c r="E73" s="566"/>
      <c r="F73" s="566"/>
      <c r="G73" s="566"/>
      <c r="H73" s="566"/>
      <c r="I73" s="566"/>
      <c r="J73" s="566"/>
      <c r="K73" s="566"/>
      <c r="L73" s="566"/>
      <c r="M73" s="567"/>
    </row>
    <row r="74" spans="2:13" ht="7.2" customHeight="1" x14ac:dyDescent="0.3">
      <c r="B74" s="204"/>
      <c r="M74" s="205"/>
    </row>
    <row r="75" spans="2:13" ht="138.6" customHeight="1" x14ac:dyDescent="0.3">
      <c r="B75" s="206"/>
      <c r="C75" s="563" t="s">
        <v>561</v>
      </c>
      <c r="D75" s="563"/>
      <c r="E75" s="563"/>
      <c r="F75" s="563"/>
      <c r="G75" s="563"/>
      <c r="H75" s="563"/>
      <c r="I75" s="563"/>
      <c r="J75" s="563"/>
      <c r="K75" s="563"/>
      <c r="L75" s="563"/>
      <c r="M75" s="564"/>
    </row>
    <row r="76" spans="2:13" ht="24.6" customHeight="1" x14ac:dyDescent="0.3"/>
    <row r="77" spans="2:13" ht="24.6" customHeight="1" x14ac:dyDescent="0.3">
      <c r="B77" s="565" t="s">
        <v>5</v>
      </c>
      <c r="C77" s="566"/>
      <c r="D77" s="566"/>
      <c r="E77" s="566"/>
      <c r="F77" s="566"/>
      <c r="G77" s="566"/>
      <c r="H77" s="566"/>
      <c r="I77" s="566"/>
      <c r="J77" s="566"/>
      <c r="K77" s="566"/>
      <c r="L77" s="566"/>
      <c r="M77" s="567"/>
    </row>
    <row r="78" spans="2:13" ht="9" customHeight="1" x14ac:dyDescent="0.3">
      <c r="B78" s="204"/>
      <c r="M78" s="205"/>
    </row>
    <row r="79" spans="2:13" ht="181.8" customHeight="1" x14ac:dyDescent="0.3">
      <c r="B79" s="206"/>
      <c r="C79" s="563" t="s">
        <v>1228</v>
      </c>
      <c r="D79" s="563"/>
      <c r="E79" s="563"/>
      <c r="F79" s="563"/>
      <c r="G79" s="563"/>
      <c r="H79" s="563"/>
      <c r="I79" s="563"/>
      <c r="J79" s="563"/>
      <c r="K79" s="563"/>
      <c r="L79" s="563"/>
      <c r="M79" s="564"/>
    </row>
    <row r="80" spans="2:13" ht="24.6" customHeight="1" x14ac:dyDescent="0.3"/>
    <row r="81" spans="1:13" ht="24.6" customHeight="1" x14ac:dyDescent="0.3">
      <c r="B81" s="565" t="s">
        <v>6</v>
      </c>
      <c r="C81" s="566"/>
      <c r="D81" s="566"/>
      <c r="E81" s="566"/>
      <c r="F81" s="566"/>
      <c r="G81" s="566"/>
      <c r="H81" s="566"/>
      <c r="I81" s="566"/>
      <c r="J81" s="566"/>
      <c r="K81" s="566"/>
      <c r="L81" s="566"/>
      <c r="M81" s="567"/>
    </row>
    <row r="82" spans="1:13" ht="9.6" customHeight="1" x14ac:dyDescent="0.3">
      <c r="B82" s="204"/>
      <c r="M82" s="205"/>
    </row>
    <row r="83" spans="1:13" ht="199.8" customHeight="1" x14ac:dyDescent="0.3">
      <c r="B83" s="206"/>
      <c r="C83" s="563" t="s">
        <v>1229</v>
      </c>
      <c r="D83" s="563"/>
      <c r="E83" s="563"/>
      <c r="F83" s="563"/>
      <c r="G83" s="563"/>
      <c r="H83" s="563"/>
      <c r="I83" s="563"/>
      <c r="J83" s="563"/>
      <c r="K83" s="563"/>
      <c r="L83" s="563"/>
      <c r="M83" s="564"/>
    </row>
    <row r="84" spans="1:13" ht="11.4" customHeight="1" x14ac:dyDescent="0.3"/>
    <row r="85" spans="1:13" x14ac:dyDescent="0.3">
      <c r="A85" s="38"/>
      <c r="B85" s="565" t="s">
        <v>562</v>
      </c>
      <c r="C85" s="566"/>
      <c r="D85" s="566"/>
      <c r="E85" s="566"/>
      <c r="F85" s="566"/>
      <c r="G85" s="566"/>
      <c r="H85" s="566"/>
      <c r="I85" s="566"/>
      <c r="J85" s="566"/>
      <c r="K85" s="566"/>
      <c r="L85" s="566"/>
      <c r="M85" s="567"/>
    </row>
    <row r="86" spans="1:13" x14ac:dyDescent="0.3">
      <c r="B86" s="204"/>
      <c r="M86" s="205"/>
    </row>
    <row r="87" spans="1:13" ht="295.8" customHeight="1" x14ac:dyDescent="0.3">
      <c r="B87" s="206"/>
      <c r="C87" s="563" t="s">
        <v>592</v>
      </c>
      <c r="D87" s="563"/>
      <c r="E87" s="563"/>
      <c r="F87" s="563"/>
      <c r="G87" s="563"/>
      <c r="H87" s="563"/>
      <c r="I87" s="563"/>
      <c r="J87" s="563"/>
      <c r="K87" s="563"/>
      <c r="L87" s="563"/>
      <c r="M87" s="564"/>
    </row>
    <row r="88" spans="1:13" x14ac:dyDescent="0.3"/>
    <row r="89" spans="1:13" ht="24" customHeight="1" x14ac:dyDescent="0.3">
      <c r="B89" s="565" t="s">
        <v>563</v>
      </c>
      <c r="C89" s="566"/>
      <c r="D89" s="566"/>
      <c r="E89" s="566"/>
      <c r="F89" s="566"/>
      <c r="G89" s="566"/>
      <c r="H89" s="566"/>
      <c r="I89" s="566"/>
      <c r="J89" s="566"/>
      <c r="K89" s="566"/>
      <c r="L89" s="566"/>
      <c r="M89" s="567"/>
    </row>
    <row r="90" spans="1:13" ht="9.6" customHeight="1" x14ac:dyDescent="0.3">
      <c r="B90" s="204"/>
      <c r="M90" s="205"/>
    </row>
    <row r="91" spans="1:13" ht="121.8" customHeight="1" x14ac:dyDescent="0.3">
      <c r="B91" s="206"/>
      <c r="C91" s="563" t="s">
        <v>1381</v>
      </c>
      <c r="D91" s="563"/>
      <c r="E91" s="563"/>
      <c r="F91" s="563"/>
      <c r="G91" s="563"/>
      <c r="H91" s="563"/>
      <c r="I91" s="563"/>
      <c r="J91" s="563"/>
      <c r="K91" s="563"/>
      <c r="L91" s="563"/>
      <c r="M91" s="564"/>
    </row>
    <row r="92" spans="1:13" ht="24" customHeight="1" x14ac:dyDescent="0.3"/>
    <row r="93" spans="1:13" x14ac:dyDescent="0.3"/>
    <row r="94" spans="1:13" ht="19.8" x14ac:dyDescent="0.4">
      <c r="D94" s="71" t="s">
        <v>308</v>
      </c>
      <c r="E94" s="71"/>
    </row>
    <row r="95" spans="1:13" ht="79.8" customHeight="1" x14ac:dyDescent="0.3">
      <c r="D95" s="556" t="s">
        <v>309</v>
      </c>
      <c r="E95" s="557"/>
      <c r="F95" s="557"/>
      <c r="G95" s="557"/>
      <c r="H95" s="558"/>
    </row>
    <row r="96" spans="1:13" x14ac:dyDescent="0.3">
      <c r="D96" s="72" t="s">
        <v>310</v>
      </c>
      <c r="E96" s="559" t="str">
        <f ca="1">INFO("OSVERSION")</f>
        <v>Windows (32-bit) NT :.00</v>
      </c>
      <c r="F96" s="559"/>
      <c r="G96" s="559"/>
      <c r="H96" s="559"/>
    </row>
    <row r="97" spans="4:8" x14ac:dyDescent="0.3">
      <c r="D97" s="73" t="s">
        <v>311</v>
      </c>
      <c r="E97" s="559" t="str">
        <f ca="1">INFO("SYSTEM")</f>
        <v>pcdos</v>
      </c>
      <c r="F97" s="559"/>
      <c r="G97" s="559"/>
      <c r="H97" s="559"/>
    </row>
    <row r="98" spans="4:8" x14ac:dyDescent="0.3">
      <c r="D98" s="73" t="s">
        <v>312</v>
      </c>
      <c r="E98" s="559" t="str">
        <f ca="1">INFO("RELEASE")</f>
        <v>16.0</v>
      </c>
      <c r="F98" s="559"/>
      <c r="G98" s="559"/>
      <c r="H98" s="559"/>
    </row>
    <row r="99" spans="4:8" x14ac:dyDescent="0.3">
      <c r="D99" s="73" t="s">
        <v>313</v>
      </c>
      <c r="E99" s="559" t="str">
        <f ca="1">INFO("RECALC")</f>
        <v>Automatisch</v>
      </c>
      <c r="F99" s="559"/>
      <c r="G99" s="559"/>
      <c r="H99" s="559"/>
    </row>
    <row r="100" spans="4:8" x14ac:dyDescent="0.3">
      <c r="D100" s="73" t="s">
        <v>593</v>
      </c>
      <c r="E100" s="560" t="s">
        <v>1534</v>
      </c>
      <c r="F100" s="559"/>
      <c r="G100" s="559"/>
      <c r="H100" s="559"/>
    </row>
    <row r="101" spans="4:8" x14ac:dyDescent="0.3">
      <c r="D101" s="73" t="s">
        <v>314</v>
      </c>
      <c r="E101" s="555">
        <v>45342</v>
      </c>
      <c r="F101" s="555"/>
      <c r="G101" s="555"/>
      <c r="H101" s="555"/>
    </row>
    <row r="102" spans="4:8" x14ac:dyDescent="0.3"/>
    <row r="103" spans="4:8" x14ac:dyDescent="0.3">
      <c r="D103" s="253" t="s">
        <v>531</v>
      </c>
    </row>
    <row r="104" spans="4:8" x14ac:dyDescent="0.3">
      <c r="D104" s="254" t="s">
        <v>315</v>
      </c>
    </row>
    <row r="105" spans="4:8" x14ac:dyDescent="0.3">
      <c r="D105" s="254" t="s">
        <v>317</v>
      </c>
    </row>
    <row r="106" spans="4:8" x14ac:dyDescent="0.3">
      <c r="D106" s="255" t="s">
        <v>316</v>
      </c>
    </row>
    <row r="112" spans="4:8" x14ac:dyDescent="0.3"/>
    <row r="113" spans="4:9" x14ac:dyDescent="0.3"/>
    <row r="114" spans="4:9" x14ac:dyDescent="0.3"/>
    <row r="115" spans="4:9" hidden="1" x14ac:dyDescent="0.3">
      <c r="D115" s="15" t="s">
        <v>44</v>
      </c>
      <c r="E115" s="19" t="s">
        <v>45</v>
      </c>
    </row>
    <row r="116" spans="4:9" hidden="1" x14ac:dyDescent="0.3">
      <c r="D116" s="15" t="s">
        <v>37</v>
      </c>
      <c r="E116" s="13" t="s">
        <v>36</v>
      </c>
    </row>
    <row r="117" spans="4:9" hidden="1" x14ac:dyDescent="0.3">
      <c r="D117" s="15" t="s">
        <v>38</v>
      </c>
      <c r="E117" s="16" t="s">
        <v>39</v>
      </c>
    </row>
    <row r="118" spans="4:9" hidden="1" x14ac:dyDescent="0.3">
      <c r="D118" s="15" t="s">
        <v>43</v>
      </c>
      <c r="E118" s="17" t="s">
        <v>40</v>
      </c>
    </row>
    <row r="119" spans="4:9" hidden="1" x14ac:dyDescent="0.3">
      <c r="D119" s="15" t="s">
        <v>42</v>
      </c>
      <c r="E119" s="18" t="s">
        <v>41</v>
      </c>
    </row>
    <row r="122" spans="4:9" x14ac:dyDescent="0.3"/>
    <row r="123" spans="4:9" ht="18" thickBot="1" x14ac:dyDescent="0.4">
      <c r="D123" s="3" t="s">
        <v>67</v>
      </c>
      <c r="E123" s="3"/>
      <c r="F123" s="3"/>
      <c r="G123" s="3"/>
      <c r="H123" s="3"/>
      <c r="I123" s="3"/>
    </row>
    <row r="124" spans="4:9" ht="15" thickTop="1" x14ac:dyDescent="0.3"/>
    <row r="125" spans="4:9" x14ac:dyDescent="0.3">
      <c r="D125" s="168" t="s">
        <v>68</v>
      </c>
    </row>
    <row r="126" spans="4:9" ht="7.95" customHeight="1" thickBot="1" x14ac:dyDescent="0.35">
      <c r="D126" s="41"/>
    </row>
    <row r="127" spans="4:9" ht="15.6" thickTop="1" thickBot="1" x14ac:dyDescent="0.35">
      <c r="D127" s="169" t="s">
        <v>69</v>
      </c>
    </row>
    <row r="128" spans="4:9" ht="7.95" customHeight="1" thickTop="1" x14ac:dyDescent="0.3">
      <c r="D128" s="41"/>
    </row>
    <row r="129" spans="3:8" x14ac:dyDescent="0.3">
      <c r="D129" s="110" t="s">
        <v>509</v>
      </c>
    </row>
    <row r="130" spans="3:8" ht="7.95" customHeight="1" x14ac:dyDescent="0.3"/>
    <row r="131" spans="3:8" ht="13.2" customHeight="1" x14ac:dyDescent="0.3">
      <c r="D131" s="170" t="s">
        <v>1239</v>
      </c>
    </row>
    <row r="132" spans="3:8" ht="4.95" customHeight="1" x14ac:dyDescent="0.3">
      <c r="D132" s="41"/>
    </row>
    <row r="133" spans="3:8" x14ac:dyDescent="0.3">
      <c r="D133" s="171" t="s">
        <v>70</v>
      </c>
    </row>
    <row r="134" spans="3:8" x14ac:dyDescent="0.3"/>
    <row r="135" spans="3:8" x14ac:dyDescent="0.3"/>
    <row r="136" spans="3:8" x14ac:dyDescent="0.3"/>
    <row r="137" spans="3:8" hidden="1" x14ac:dyDescent="0.3">
      <c r="D137" t="s">
        <v>594</v>
      </c>
    </row>
    <row r="139" spans="3:8" ht="21" hidden="1" x14ac:dyDescent="0.4">
      <c r="C139" s="315"/>
      <c r="D139" s="323" t="s">
        <v>732</v>
      </c>
      <c r="H139" s="317" t="s">
        <v>727</v>
      </c>
    </row>
    <row r="140" spans="3:8" ht="12" hidden="1" customHeight="1" x14ac:dyDescent="0.35">
      <c r="D140" s="324"/>
    </row>
    <row r="141" spans="3:8" ht="21" hidden="1" x14ac:dyDescent="0.4">
      <c r="C141" s="320"/>
      <c r="D141" s="323" t="s">
        <v>729</v>
      </c>
      <c r="H141" s="316" t="s">
        <v>728</v>
      </c>
    </row>
    <row r="142" spans="3:8" ht="12" hidden="1" customHeight="1" x14ac:dyDescent="0.35">
      <c r="D142" s="323"/>
    </row>
    <row r="143" spans="3:8" ht="21" hidden="1" x14ac:dyDescent="0.4">
      <c r="C143" s="321"/>
      <c r="D143" s="323" t="s">
        <v>730</v>
      </c>
      <c r="H143" s="318" t="s">
        <v>117</v>
      </c>
    </row>
    <row r="144" spans="3:8" ht="12" hidden="1" customHeight="1" x14ac:dyDescent="0.35">
      <c r="D144" s="323"/>
    </row>
    <row r="145" spans="3:8" ht="21" hidden="1" x14ac:dyDescent="0.4">
      <c r="C145" s="322"/>
      <c r="D145" s="323" t="s">
        <v>731</v>
      </c>
      <c r="H145" s="319" t="s">
        <v>340</v>
      </c>
    </row>
    <row r="146" spans="3:8" x14ac:dyDescent="0.3"/>
    <row r="147" spans="3:8" hidden="1" x14ac:dyDescent="0.3">
      <c r="C147" s="441"/>
      <c r="D147" t="s">
        <v>1182</v>
      </c>
    </row>
    <row r="148" spans="3:8" x14ac:dyDescent="0.3"/>
  </sheetData>
  <sheetProtection algorithmName="SHA-512" hashValue="z+mbPodP4jcqcY5V/wLGrbSVL3k4y3gATF37bEL0gKtGhZBUKz23WAeAtO/WrfrVy/H4u67V+uIcy1YtIGEgkQ==" saltValue="D9xazmrQbSEBdEO7RltHyA==" spinCount="100000" sheet="1" objects="1" scenarios="1"/>
  <mergeCells count="22">
    <mergeCell ref="D49:H53"/>
    <mergeCell ref="C91:M91"/>
    <mergeCell ref="B47:M47"/>
    <mergeCell ref="B69:M69"/>
    <mergeCell ref="F71:M71"/>
    <mergeCell ref="B73:M73"/>
    <mergeCell ref="C75:M75"/>
    <mergeCell ref="B77:M77"/>
    <mergeCell ref="C79:M79"/>
    <mergeCell ref="B81:M81"/>
    <mergeCell ref="D63:H67"/>
    <mergeCell ref="C83:M83"/>
    <mergeCell ref="B85:M85"/>
    <mergeCell ref="C87:M87"/>
    <mergeCell ref="B89:M89"/>
    <mergeCell ref="E101:H101"/>
    <mergeCell ref="D95:H95"/>
    <mergeCell ref="E96:H96"/>
    <mergeCell ref="E97:H97"/>
    <mergeCell ref="E98:H98"/>
    <mergeCell ref="E99:H99"/>
    <mergeCell ref="E100:H100"/>
  </mergeCells>
  <hyperlinks>
    <hyperlink ref="D43" location="Ergebnis!A1" display="Ergebnis"/>
    <hyperlink ref="D11" location="Allgemeines!A1" display="Allgemeine Informationen zur Schule"/>
    <hyperlink ref="D17" location="Heizsystem!A1" display="Heizsystem"/>
    <hyperlink ref="D18" location="Stromverbrauch!A1" display="Stromverbrauch"/>
    <hyperlink ref="D30" location="Ernährung!A1" display="CO₂-Rechner Schulessen"/>
    <hyperlink ref="D105" r:id="rId1" display="sas@oe2.de"/>
    <hyperlink ref="D106" r:id="rId2"/>
    <hyperlink ref="D19" location="PV!A1" display="bestehende PV-Anlage"/>
    <hyperlink ref="D25" location="Schulwege!C158" display="Schulwege Lehrerinnen und Lehrer"/>
    <hyperlink ref="D26" location="Klassenfahrten!A1" display="Emissionen Klassenfahrten"/>
    <hyperlink ref="D12" location="Allgemeines!C69" display="Emissionsparameter"/>
    <hyperlink ref="D24" location="Schulwege!C31" display="Schulwege Schülerinnen und Schüler"/>
    <hyperlink ref="D22" location="'Anleitung Schulwege'!A1" display="Anleitung Schulwege"/>
    <hyperlink ref="D23" location="'Daten Schulwege'!A1" display="Daten Schulwege"/>
    <hyperlink ref="D27" location="Schüleraustausch!A1" display="Emissionen Schüleraustausch"/>
    <hyperlink ref="D35" location="Beschaffung_1!A1" display="Beschaffung Papier"/>
    <hyperlink ref="D13" location="Einstellungen!C7" display="Experten-Einstellungen für Schulzentren und Emissionsfaktoren"/>
    <hyperlink ref="D36" location="Beschaffung_2!A16" display="Wasserverbrauch"/>
    <hyperlink ref="D37" location="Inhalt!A37" display="Abfall (nur Restmüll)"/>
    <hyperlink ref="D38" location="Beschaffung_2!A51" display="Beschaffung Stühle &amp; Tische"/>
    <hyperlink ref="D39" location="Beschaffung_2!A62" display="Beschaffung IT"/>
    <hyperlink ref="D40" location="Beschaffung_2!A97" display="Beschaffung Schulbücher"/>
    <hyperlink ref="D32" location="Ernährung!A48" display="Essensreste"/>
    <hyperlink ref="D14" location="Einstellungen!C79" display="Emissionsfaktoren"/>
    <hyperlink ref="D31" location="Ernährung!A78" display="Detaillierter CO₂-Rechner Schulessen"/>
    <hyperlink ref="D44" location="Auswertung!A1" display="Auswertung"/>
  </hyperlinks>
  <pageMargins left="0.7" right="0.7" top="0.75" bottom="0.75" header="0.3" footer="0.3"/>
  <pageSetup paperSize="9" orientation="portrait" horizontalDpi="4294967295" verticalDpi="4294967295"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005989"/>
  </sheetPr>
  <dimension ref="A1:Z217"/>
  <sheetViews>
    <sheetView showGridLines="0" workbookViewId="0">
      <selection activeCell="B18" sqref="B18"/>
    </sheetView>
  </sheetViews>
  <sheetFormatPr baseColWidth="10" defaultColWidth="0" defaultRowHeight="14.4" x14ac:dyDescent="0.3"/>
  <cols>
    <col min="1" max="1" width="8.88671875" customWidth="1"/>
    <col min="2" max="2" width="30.44140625" customWidth="1"/>
    <col min="3" max="3" width="16.6640625" customWidth="1"/>
    <col min="4" max="4" width="20.44140625" customWidth="1"/>
    <col min="5" max="6" width="11.6640625" customWidth="1"/>
    <col min="7" max="7" width="13.6640625" customWidth="1"/>
    <col min="8" max="8" width="14.109375" customWidth="1"/>
    <col min="9" max="9" width="8.88671875" customWidth="1"/>
    <col min="10" max="13" width="8.88671875" hidden="1" customWidth="1"/>
    <col min="14" max="14" width="22.33203125" hidden="1" customWidth="1"/>
    <col min="15" max="16" width="8.88671875" hidden="1" customWidth="1"/>
    <col min="17" max="17" width="18.33203125" hidden="1" customWidth="1"/>
    <col min="18" max="18" width="13.88671875" hidden="1" customWidth="1"/>
    <col min="19" max="22" width="8.88671875" hidden="1" customWidth="1"/>
    <col min="23" max="23" width="17.44140625" hidden="1" customWidth="1"/>
    <col min="24" max="24" width="8.88671875" hidden="1" customWidth="1"/>
    <col min="25" max="26" width="17.44140625" hidden="1" customWidth="1"/>
    <col min="27" max="16384" width="8.88671875" hidden="1"/>
  </cols>
  <sheetData>
    <row r="1" spans="1:14" ht="12" customHeight="1" x14ac:dyDescent="0.3">
      <c r="A1" s="1"/>
      <c r="B1" s="1"/>
      <c r="C1" s="1"/>
      <c r="D1" s="1"/>
      <c r="E1" s="1"/>
      <c r="F1" s="1"/>
      <c r="G1" s="1"/>
      <c r="H1" s="1"/>
      <c r="I1" s="1"/>
      <c r="J1" s="1"/>
      <c r="K1" s="1"/>
      <c r="L1" s="1"/>
      <c r="M1" s="1"/>
      <c r="N1" s="1"/>
    </row>
    <row r="2" spans="1:14" ht="12" customHeight="1" x14ac:dyDescent="0.3">
      <c r="A2" s="1"/>
      <c r="B2" s="1"/>
      <c r="C2" s="1"/>
      <c r="D2" s="1"/>
      <c r="E2" s="1"/>
      <c r="F2" s="1"/>
      <c r="G2" s="1"/>
      <c r="H2" s="1"/>
      <c r="I2" s="1"/>
      <c r="J2" s="1"/>
      <c r="K2" s="1"/>
      <c r="L2" s="1"/>
      <c r="M2" s="1"/>
      <c r="N2" s="1"/>
    </row>
    <row r="3" spans="1:14" ht="32.4" customHeight="1" x14ac:dyDescent="0.55000000000000004">
      <c r="A3" s="1"/>
      <c r="B3" s="1"/>
      <c r="C3" s="2" t="s">
        <v>1268</v>
      </c>
      <c r="D3" s="2"/>
      <c r="E3" s="2"/>
      <c r="F3" s="2"/>
      <c r="G3" s="1"/>
      <c r="H3" s="1"/>
      <c r="I3" s="2"/>
      <c r="J3" s="1"/>
      <c r="K3" s="1"/>
      <c r="L3" s="1"/>
      <c r="M3" s="1"/>
      <c r="N3" s="1"/>
    </row>
    <row r="4" spans="1:14" ht="18.45" customHeight="1" thickBot="1" x14ac:dyDescent="0.4">
      <c r="A4" s="29"/>
      <c r="B4" s="94"/>
      <c r="C4" s="347" t="str">
        <f>NameDerSchule</f>
        <v>Schule ABC</v>
      </c>
      <c r="D4" s="347"/>
      <c r="E4" s="29"/>
      <c r="F4" s="29"/>
      <c r="G4" s="29"/>
      <c r="H4" s="29"/>
      <c r="I4" s="29"/>
      <c r="J4" s="29"/>
      <c r="K4" s="29"/>
      <c r="L4" s="29"/>
      <c r="M4" s="29"/>
      <c r="N4" s="29"/>
    </row>
    <row r="5" spans="1:14" ht="13.95" customHeight="1" thickTop="1" x14ac:dyDescent="0.3">
      <c r="A5" s="26" t="s">
        <v>63</v>
      </c>
    </row>
    <row r="6" spans="1:14" ht="16.2" customHeight="1" x14ac:dyDescent="0.3"/>
    <row r="7" spans="1:14" ht="19.2" customHeight="1" x14ac:dyDescent="0.3">
      <c r="B7" s="586" t="s">
        <v>1269</v>
      </c>
      <c r="C7" s="587"/>
      <c r="D7" s="587"/>
      <c r="E7" s="587"/>
      <c r="F7" s="587"/>
      <c r="G7" s="588"/>
    </row>
    <row r="8" spans="1:14" ht="19.2" customHeight="1" x14ac:dyDescent="0.3">
      <c r="B8" s="589"/>
      <c r="C8" s="590"/>
      <c r="D8" s="590"/>
      <c r="E8" s="590"/>
      <c r="F8" s="590"/>
      <c r="G8" s="591"/>
    </row>
    <row r="9" spans="1:14" ht="19.2" customHeight="1" x14ac:dyDescent="0.3">
      <c r="B9" s="589"/>
      <c r="C9" s="590"/>
      <c r="D9" s="590"/>
      <c r="E9" s="590"/>
      <c r="F9" s="590"/>
      <c r="G9" s="591"/>
    </row>
    <row r="10" spans="1:14" ht="44.4" customHeight="1" x14ac:dyDescent="0.3">
      <c r="B10" s="589"/>
      <c r="C10" s="590"/>
      <c r="D10" s="590"/>
      <c r="E10" s="590"/>
      <c r="F10" s="590"/>
      <c r="G10" s="591"/>
    </row>
    <row r="11" spans="1:14" ht="44.4" customHeight="1" x14ac:dyDescent="0.3">
      <c r="B11" s="592"/>
      <c r="C11" s="593"/>
      <c r="D11" s="593"/>
      <c r="E11" s="593"/>
      <c r="F11" s="593"/>
      <c r="G11" s="594"/>
    </row>
    <row r="12" spans="1:14" ht="15" customHeight="1" x14ac:dyDescent="0.3">
      <c r="B12" s="374" t="str">
        <f>IF(VerbrauchsanteilSchuleAustauschprogramme&lt;&gt;100%,"Hinweis: Die Emissionen der Austauschprogramme wurden nur anteilig ("&amp;TEXT(VerbrauchsanteilSchuleAustauschprogramme,"0 %")&amp;") in die CO2-Bilanz aufgenommen.","")</f>
        <v>Hinweis: Die Emissionen der Austauschprogramme wurden nur anteilig (50 %) in die CO2-Bilanz aufgenommen.</v>
      </c>
      <c r="C12" s="341"/>
      <c r="D12" s="341"/>
      <c r="E12" s="341"/>
      <c r="F12" s="341"/>
      <c r="G12" s="341"/>
    </row>
    <row r="13" spans="1:14" ht="19.8" customHeight="1" x14ac:dyDescent="0.3">
      <c r="B13" s="301" t="str">
        <f>IF(H70&lt;&gt;0,"Bei den mit ""🛫 überprüfen!"" markierte Flugreisen sollten die Emissionen auf Atmosfair.de überprüft werden.","")</f>
        <v>Bei den mit "🛫 überprüfen!" markierte Flugreisen sollten die Emissionen auf Atmosfair.de überprüft werden.</v>
      </c>
      <c r="C13" s="341"/>
      <c r="D13" s="341"/>
      <c r="E13" s="341"/>
      <c r="F13" s="341"/>
      <c r="G13" s="341"/>
    </row>
    <row r="14" spans="1:14" ht="16.2" customHeight="1" x14ac:dyDescent="0.3">
      <c r="B14" s="8" t="s">
        <v>940</v>
      </c>
      <c r="D14" s="25" t="s">
        <v>922</v>
      </c>
    </row>
    <row r="15" spans="1:14" ht="10.199999999999999" customHeight="1" x14ac:dyDescent="0.3">
      <c r="B15" s="8"/>
      <c r="D15" s="25"/>
    </row>
    <row r="16" spans="1:14" ht="16.2" customHeight="1" x14ac:dyDescent="0.3">
      <c r="D16" s="636" t="s">
        <v>581</v>
      </c>
      <c r="E16" s="636"/>
      <c r="F16" s="342"/>
      <c r="G16" s="211" t="s">
        <v>565</v>
      </c>
    </row>
    <row r="17" spans="2:8" ht="16.2" customHeight="1" x14ac:dyDescent="0.3"/>
    <row r="18" spans="2:8" ht="16.2" customHeight="1" thickBot="1" x14ac:dyDescent="0.4">
      <c r="B18" s="3" t="s">
        <v>556</v>
      </c>
      <c r="C18" s="3"/>
      <c r="D18" s="3"/>
      <c r="E18" s="95" t="s">
        <v>430</v>
      </c>
      <c r="F18" s="95"/>
      <c r="G18" s="96">
        <f>SUM(G21:G69)</f>
        <v>12846</v>
      </c>
    </row>
    <row r="19" spans="2:8" ht="16.2" customHeight="1" thickTop="1" x14ac:dyDescent="0.3"/>
    <row r="20" spans="2:8" ht="46.2" customHeight="1" thickBot="1" x14ac:dyDescent="0.35">
      <c r="B20" s="91" t="s">
        <v>1183</v>
      </c>
      <c r="C20" s="91" t="s">
        <v>1250</v>
      </c>
      <c r="D20" s="91" t="s">
        <v>421</v>
      </c>
      <c r="E20" s="91" t="s">
        <v>934</v>
      </c>
      <c r="F20" s="91" t="s">
        <v>472</v>
      </c>
      <c r="G20" s="92" t="s">
        <v>939</v>
      </c>
      <c r="H20" s="91" t="s">
        <v>935</v>
      </c>
    </row>
    <row r="21" spans="2:8" ht="15" thickBot="1" x14ac:dyDescent="0.35">
      <c r="B21" s="190" t="s">
        <v>1397</v>
      </c>
      <c r="C21" s="191" t="s">
        <v>1184</v>
      </c>
      <c r="D21" s="468" t="s">
        <v>514</v>
      </c>
      <c r="E21" s="193">
        <v>3500</v>
      </c>
      <c r="F21" s="192">
        <v>4500</v>
      </c>
      <c r="G21" s="34">
        <f>IF(F21&lt;&gt;"",F21,VLOOKUP(D21,Lookup!$S$16:$U$25,2,FALSE)*2*E21/1000)</f>
        <v>4500</v>
      </c>
      <c r="H21" s="345" t="str">
        <f>IF(D21="Flugreise Ausland",IF(F21="","🛫 überprüfen!",""),"")</f>
        <v/>
      </c>
    </row>
    <row r="22" spans="2:8" ht="15" thickBot="1" x14ac:dyDescent="0.35">
      <c r="B22" s="190" t="s">
        <v>1398</v>
      </c>
      <c r="C22" s="191" t="s">
        <v>1184</v>
      </c>
      <c r="D22" s="468" t="s">
        <v>514</v>
      </c>
      <c r="E22" s="193">
        <v>3800</v>
      </c>
      <c r="F22" s="192">
        <v>7800</v>
      </c>
      <c r="G22" s="34">
        <f>IF(F22&lt;&gt;"",F22,VLOOKUP(D22,Lookup!$S$16:$U$25,2,FALSE)*2*E22/1000)</f>
        <v>7800</v>
      </c>
      <c r="H22" s="345" t="str">
        <f>IF(D22="Flugreise Ausland",IF(F22="","🛫 überprüfen!",""),"")</f>
        <v/>
      </c>
    </row>
    <row r="23" spans="2:8" ht="15" thickBot="1" x14ac:dyDescent="0.35">
      <c r="B23" s="190" t="s">
        <v>1399</v>
      </c>
      <c r="C23" s="191" t="s">
        <v>1185</v>
      </c>
      <c r="D23" s="468" t="s">
        <v>428</v>
      </c>
      <c r="E23" s="193">
        <v>700</v>
      </c>
      <c r="F23" s="192"/>
      <c r="G23" s="34">
        <f>IF(F23&lt;&gt;"",F23,VLOOKUP(D23,Lookup!$S$16:$U$25,2,FALSE)*2*E23/1000)</f>
        <v>49</v>
      </c>
      <c r="H23" s="345" t="str">
        <f t="shared" ref="H23:H69" si="0">IF(D23="Flugreise Ausland",IF(F23="","🛫 überprüfen!",""),"")</f>
        <v/>
      </c>
    </row>
    <row r="24" spans="2:8" ht="15" thickBot="1" x14ac:dyDescent="0.35">
      <c r="B24" s="190" t="s">
        <v>1400</v>
      </c>
      <c r="C24" s="191" t="s">
        <v>1186</v>
      </c>
      <c r="D24" s="468" t="s">
        <v>514</v>
      </c>
      <c r="E24" s="193">
        <v>700</v>
      </c>
      <c r="F24" s="192"/>
      <c r="G24" s="34">
        <f>IF(F24&lt;&gt;"",F24,VLOOKUP(D24,Lookup!$S$16:$U$25,2,FALSE)*2*E24/1000)</f>
        <v>497</v>
      </c>
      <c r="H24" s="345" t="str">
        <f t="shared" si="0"/>
        <v>🛫 überprüfen!</v>
      </c>
    </row>
    <row r="25" spans="2:8" ht="15" thickBot="1" x14ac:dyDescent="0.35">
      <c r="B25" s="190"/>
      <c r="C25" s="191"/>
      <c r="D25" s="468" t="s">
        <v>27</v>
      </c>
      <c r="E25" s="193"/>
      <c r="F25" s="192"/>
      <c r="G25" s="34">
        <f>IF(F25&lt;&gt;"",F25,VLOOKUP(D25,Lookup!$S$16:$U$25,2,FALSE)*2*E25/1000)</f>
        <v>0</v>
      </c>
      <c r="H25" s="345" t="str">
        <f t="shared" si="0"/>
        <v/>
      </c>
    </row>
    <row r="26" spans="2:8" ht="15" thickBot="1" x14ac:dyDescent="0.35">
      <c r="B26" s="190"/>
      <c r="C26" s="191"/>
      <c r="D26" s="468" t="s">
        <v>27</v>
      </c>
      <c r="E26" s="193"/>
      <c r="F26" s="192"/>
      <c r="G26" s="34">
        <f>IF(F26&lt;&gt;"",F26,VLOOKUP(D26,Lookup!$S$16:$U$25,2,FALSE)*2*E26/1000)</f>
        <v>0</v>
      </c>
      <c r="H26" s="345" t="str">
        <f t="shared" si="0"/>
        <v/>
      </c>
    </row>
    <row r="27" spans="2:8" ht="15" thickBot="1" x14ac:dyDescent="0.35">
      <c r="B27" s="190"/>
      <c r="C27" s="191"/>
      <c r="D27" s="468" t="s">
        <v>27</v>
      </c>
      <c r="E27" s="193"/>
      <c r="F27" s="192"/>
      <c r="G27" s="34">
        <f>IF(F27&lt;&gt;"",F27,VLOOKUP(D27,Lookup!$S$16:$U$25,2,FALSE)*2*E27/1000)</f>
        <v>0</v>
      </c>
      <c r="H27" s="345" t="str">
        <f t="shared" si="0"/>
        <v/>
      </c>
    </row>
    <row r="28" spans="2:8" ht="15" thickBot="1" x14ac:dyDescent="0.35">
      <c r="B28" s="190"/>
      <c r="C28" s="191"/>
      <c r="D28" s="468" t="s">
        <v>27</v>
      </c>
      <c r="E28" s="193"/>
      <c r="F28" s="192"/>
      <c r="G28" s="34">
        <f>IF(F28&lt;&gt;"",F28,VLOOKUP(D28,Lookup!$S$16:$U$25,2,FALSE)*2*E28/1000)</f>
        <v>0</v>
      </c>
      <c r="H28" s="345" t="str">
        <f t="shared" si="0"/>
        <v/>
      </c>
    </row>
    <row r="29" spans="2:8" ht="15" thickBot="1" x14ac:dyDescent="0.35">
      <c r="B29" s="190"/>
      <c r="C29" s="191"/>
      <c r="D29" s="468" t="s">
        <v>27</v>
      </c>
      <c r="E29" s="193"/>
      <c r="F29" s="192"/>
      <c r="G29" s="34">
        <f>IF(F29&lt;&gt;"",F29,VLOOKUP(D29,Lookup!$S$16:$U$25,2,FALSE)*2*E29/1000)</f>
        <v>0</v>
      </c>
      <c r="H29" s="345" t="str">
        <f t="shared" si="0"/>
        <v/>
      </c>
    </row>
    <row r="30" spans="2:8" ht="15" thickBot="1" x14ac:dyDescent="0.35">
      <c r="B30" s="190"/>
      <c r="C30" s="191"/>
      <c r="D30" s="468" t="s">
        <v>27</v>
      </c>
      <c r="E30" s="193"/>
      <c r="F30" s="192"/>
      <c r="G30" s="34">
        <f>IF(F30&lt;&gt;"",F30,VLOOKUP(D30,Lookup!$S$16:$U$25,2,FALSE)*2*E30/1000)</f>
        <v>0</v>
      </c>
      <c r="H30" s="345" t="str">
        <f t="shared" si="0"/>
        <v/>
      </c>
    </row>
    <row r="31" spans="2:8" ht="15" thickBot="1" x14ac:dyDescent="0.35">
      <c r="B31" s="190"/>
      <c r="C31" s="191"/>
      <c r="D31" s="468" t="s">
        <v>27</v>
      </c>
      <c r="E31" s="193"/>
      <c r="F31" s="192"/>
      <c r="G31" s="34">
        <f>IF(F31&lt;&gt;"",F31,VLOOKUP(D31,Lookup!$S$16:$U$25,2,FALSE)*2*E31/1000)</f>
        <v>0</v>
      </c>
      <c r="H31" s="345" t="str">
        <f t="shared" si="0"/>
        <v/>
      </c>
    </row>
    <row r="32" spans="2:8" ht="15" thickBot="1" x14ac:dyDescent="0.35">
      <c r="B32" s="190"/>
      <c r="C32" s="191"/>
      <c r="D32" s="468" t="s">
        <v>27</v>
      </c>
      <c r="E32" s="193"/>
      <c r="F32" s="192"/>
      <c r="G32" s="34">
        <f>IF(F32&lt;&gt;"",F32,VLOOKUP(D32,Lookup!$S$16:$U$25,2,FALSE)*2*E32/1000)</f>
        <v>0</v>
      </c>
      <c r="H32" s="345" t="str">
        <f t="shared" si="0"/>
        <v/>
      </c>
    </row>
    <row r="33" spans="2:8" ht="15" thickBot="1" x14ac:dyDescent="0.35">
      <c r="B33" s="190"/>
      <c r="C33" s="191"/>
      <c r="D33" s="468" t="s">
        <v>27</v>
      </c>
      <c r="E33" s="193"/>
      <c r="F33" s="192"/>
      <c r="G33" s="34">
        <f>IF(F33&lt;&gt;"",F33,VLOOKUP(D33,Lookup!$S$16:$U$25,2,FALSE)*2*E33/1000)</f>
        <v>0</v>
      </c>
      <c r="H33" s="345" t="str">
        <f t="shared" si="0"/>
        <v/>
      </c>
    </row>
    <row r="34" spans="2:8" ht="15" thickBot="1" x14ac:dyDescent="0.35">
      <c r="B34" s="190"/>
      <c r="C34" s="191"/>
      <c r="D34" s="468" t="s">
        <v>27</v>
      </c>
      <c r="E34" s="193"/>
      <c r="F34" s="192"/>
      <c r="G34" s="34">
        <f>IF(F34&lt;&gt;"",F34,VLOOKUP(D34,Lookup!$S$16:$U$25,2,FALSE)*2*E34/1000)</f>
        <v>0</v>
      </c>
      <c r="H34" s="345" t="str">
        <f t="shared" si="0"/>
        <v/>
      </c>
    </row>
    <row r="35" spans="2:8" ht="15" thickBot="1" x14ac:dyDescent="0.35">
      <c r="B35" s="190"/>
      <c r="C35" s="191"/>
      <c r="D35" s="468" t="s">
        <v>27</v>
      </c>
      <c r="E35" s="193"/>
      <c r="F35" s="192"/>
      <c r="G35" s="34">
        <f>IF(F35&lt;&gt;"",F35,VLOOKUP(D35,Lookup!$S$16:$U$25,2,FALSE)*2*E35/1000)</f>
        <v>0</v>
      </c>
      <c r="H35" s="345" t="str">
        <f t="shared" si="0"/>
        <v/>
      </c>
    </row>
    <row r="36" spans="2:8" ht="15" thickBot="1" x14ac:dyDescent="0.35">
      <c r="B36" s="190"/>
      <c r="C36" s="191"/>
      <c r="D36" s="468" t="s">
        <v>27</v>
      </c>
      <c r="E36" s="193"/>
      <c r="F36" s="192"/>
      <c r="G36" s="34">
        <f>IF(F36&lt;&gt;"",F36,VLOOKUP(D36,Lookup!$S$16:$U$25,2,FALSE)*2*E36/1000)</f>
        <v>0</v>
      </c>
      <c r="H36" s="345" t="str">
        <f t="shared" si="0"/>
        <v/>
      </c>
    </row>
    <row r="37" spans="2:8" ht="15" thickBot="1" x14ac:dyDescent="0.35">
      <c r="B37" s="190"/>
      <c r="C37" s="191"/>
      <c r="D37" s="468" t="s">
        <v>27</v>
      </c>
      <c r="E37" s="193"/>
      <c r="F37" s="192"/>
      <c r="G37" s="34">
        <f>IF(F37&lt;&gt;"",F37,VLOOKUP(D37,Lookup!$S$16:$U$25,2,FALSE)*2*E37/1000)</f>
        <v>0</v>
      </c>
      <c r="H37" s="345" t="str">
        <f t="shared" si="0"/>
        <v/>
      </c>
    </row>
    <row r="38" spans="2:8" ht="15" thickBot="1" x14ac:dyDescent="0.35">
      <c r="B38" s="190"/>
      <c r="C38" s="191"/>
      <c r="D38" s="468" t="s">
        <v>27</v>
      </c>
      <c r="E38" s="193"/>
      <c r="F38" s="192"/>
      <c r="G38" s="34">
        <f>IF(F38&lt;&gt;"",F38,VLOOKUP(D38,Lookup!$S$16:$U$25,2,FALSE)*2*E38/1000)</f>
        <v>0</v>
      </c>
      <c r="H38" s="345" t="str">
        <f t="shared" si="0"/>
        <v/>
      </c>
    </row>
    <row r="39" spans="2:8" ht="15" thickBot="1" x14ac:dyDescent="0.35">
      <c r="B39" s="190"/>
      <c r="C39" s="191"/>
      <c r="D39" s="468" t="s">
        <v>27</v>
      </c>
      <c r="E39" s="193"/>
      <c r="F39" s="192"/>
      <c r="G39" s="34">
        <f>IF(F39&lt;&gt;"",F39,VLOOKUP(D39,Lookup!$S$16:$U$25,2,FALSE)*2*E39/1000)</f>
        <v>0</v>
      </c>
      <c r="H39" s="345" t="str">
        <f t="shared" si="0"/>
        <v/>
      </c>
    </row>
    <row r="40" spans="2:8" ht="15" thickBot="1" x14ac:dyDescent="0.35">
      <c r="B40" s="190"/>
      <c r="C40" s="191"/>
      <c r="D40" s="468" t="s">
        <v>27</v>
      </c>
      <c r="E40" s="193"/>
      <c r="F40" s="192"/>
      <c r="G40" s="34">
        <f>IF(F40&lt;&gt;"",F40,VLOOKUP(D40,Lookup!$S$16:$U$25,2,FALSE)*2*E40/1000)</f>
        <v>0</v>
      </c>
      <c r="H40" s="345" t="str">
        <f t="shared" si="0"/>
        <v/>
      </c>
    </row>
    <row r="41" spans="2:8" ht="15" thickBot="1" x14ac:dyDescent="0.35">
      <c r="B41" s="190"/>
      <c r="C41" s="191"/>
      <c r="D41" s="468" t="s">
        <v>27</v>
      </c>
      <c r="E41" s="193"/>
      <c r="F41" s="192"/>
      <c r="G41" s="34">
        <f>IF(F41&lt;&gt;"",F41,VLOOKUP(D41,Lookup!$S$16:$U$25,2,FALSE)*2*E41/1000)</f>
        <v>0</v>
      </c>
      <c r="H41" s="345" t="str">
        <f t="shared" si="0"/>
        <v/>
      </c>
    </row>
    <row r="42" spans="2:8" ht="15" thickBot="1" x14ac:dyDescent="0.35">
      <c r="B42" s="190"/>
      <c r="C42" s="191"/>
      <c r="D42" s="468" t="s">
        <v>27</v>
      </c>
      <c r="E42" s="193"/>
      <c r="F42" s="192"/>
      <c r="G42" s="34">
        <f>IF(F42&lt;&gt;"",F42,VLOOKUP(D42,Lookup!$S$16:$U$25,2,FALSE)*2*E42/1000)</f>
        <v>0</v>
      </c>
      <c r="H42" s="345" t="str">
        <f t="shared" si="0"/>
        <v/>
      </c>
    </row>
    <row r="43" spans="2:8" ht="15" thickBot="1" x14ac:dyDescent="0.35">
      <c r="B43" s="190"/>
      <c r="C43" s="191"/>
      <c r="D43" s="468" t="s">
        <v>27</v>
      </c>
      <c r="E43" s="193"/>
      <c r="F43" s="192"/>
      <c r="G43" s="34">
        <f>IF(F43&lt;&gt;"",F43,VLOOKUP(D43,Lookup!$S$16:$U$25,2,FALSE)*2*E43/1000)</f>
        <v>0</v>
      </c>
      <c r="H43" s="345" t="str">
        <f t="shared" si="0"/>
        <v/>
      </c>
    </row>
    <row r="44" spans="2:8" ht="15" thickBot="1" x14ac:dyDescent="0.35">
      <c r="B44" s="190"/>
      <c r="C44" s="191"/>
      <c r="D44" s="468" t="s">
        <v>27</v>
      </c>
      <c r="E44" s="193"/>
      <c r="F44" s="192"/>
      <c r="G44" s="34">
        <f>IF(F44&lt;&gt;"",F44,VLOOKUP(D44,Lookup!$S$16:$U$25,2,FALSE)*2*E44/1000)</f>
        <v>0</v>
      </c>
      <c r="H44" s="345" t="str">
        <f t="shared" si="0"/>
        <v/>
      </c>
    </row>
    <row r="45" spans="2:8" ht="15" thickBot="1" x14ac:dyDescent="0.35">
      <c r="B45" s="190"/>
      <c r="C45" s="191"/>
      <c r="D45" s="468" t="s">
        <v>27</v>
      </c>
      <c r="E45" s="193"/>
      <c r="F45" s="192"/>
      <c r="G45" s="34">
        <f>IF(F45&lt;&gt;"",F45,VLOOKUP(D45,Lookup!$S$16:$U$25,2,FALSE)*2*E45/1000)</f>
        <v>0</v>
      </c>
      <c r="H45" s="345" t="str">
        <f t="shared" si="0"/>
        <v/>
      </c>
    </row>
    <row r="46" spans="2:8" ht="15" thickBot="1" x14ac:dyDescent="0.35">
      <c r="B46" s="190"/>
      <c r="C46" s="191"/>
      <c r="D46" s="468" t="s">
        <v>27</v>
      </c>
      <c r="E46" s="193"/>
      <c r="F46" s="192"/>
      <c r="G46" s="34">
        <f>IF(F46&lt;&gt;"",F46,VLOOKUP(D46,Lookup!$S$16:$U$25,2,FALSE)*2*E46/1000)</f>
        <v>0</v>
      </c>
      <c r="H46" s="345" t="str">
        <f t="shared" si="0"/>
        <v/>
      </c>
    </row>
    <row r="47" spans="2:8" ht="15" thickBot="1" x14ac:dyDescent="0.35">
      <c r="B47" s="190"/>
      <c r="C47" s="191"/>
      <c r="D47" s="468" t="s">
        <v>27</v>
      </c>
      <c r="E47" s="193"/>
      <c r="F47" s="192"/>
      <c r="G47" s="34">
        <f>IF(F47&lt;&gt;"",F47,VLOOKUP(D47,Lookup!$S$16:$U$25,2,FALSE)*2*E47/1000)</f>
        <v>0</v>
      </c>
      <c r="H47" s="345" t="str">
        <f t="shared" si="0"/>
        <v/>
      </c>
    </row>
    <row r="48" spans="2:8" ht="15" thickBot="1" x14ac:dyDescent="0.35">
      <c r="B48" s="190"/>
      <c r="C48" s="191"/>
      <c r="D48" s="468" t="s">
        <v>27</v>
      </c>
      <c r="E48" s="193"/>
      <c r="F48" s="192"/>
      <c r="G48" s="34">
        <f>IF(F48&lt;&gt;"",F48,VLOOKUP(D48,Lookup!$S$16:$U$25,2,FALSE)*2*E48/1000)</f>
        <v>0</v>
      </c>
      <c r="H48" s="345" t="str">
        <f t="shared" si="0"/>
        <v/>
      </c>
    </row>
    <row r="49" spans="2:8" ht="15" thickBot="1" x14ac:dyDescent="0.35">
      <c r="B49" s="190"/>
      <c r="C49" s="191"/>
      <c r="D49" s="468" t="s">
        <v>27</v>
      </c>
      <c r="E49" s="193"/>
      <c r="F49" s="192"/>
      <c r="G49" s="34">
        <f>IF(F49&lt;&gt;"",F49,VLOOKUP(D49,Lookup!$S$16:$U$25,2,FALSE)*2*E49/1000)</f>
        <v>0</v>
      </c>
      <c r="H49" s="345" t="str">
        <f t="shared" si="0"/>
        <v/>
      </c>
    </row>
    <row r="50" spans="2:8" ht="15" thickBot="1" x14ac:dyDescent="0.35">
      <c r="B50" s="190"/>
      <c r="C50" s="191"/>
      <c r="D50" s="468" t="s">
        <v>27</v>
      </c>
      <c r="E50" s="193"/>
      <c r="F50" s="192"/>
      <c r="G50" s="34">
        <f>IF(F50&lt;&gt;"",F50,VLOOKUP(D50,Lookup!$S$16:$U$25,2,FALSE)*2*E50/1000)</f>
        <v>0</v>
      </c>
      <c r="H50" s="345" t="str">
        <f t="shared" si="0"/>
        <v/>
      </c>
    </row>
    <row r="51" spans="2:8" ht="15" thickBot="1" x14ac:dyDescent="0.35">
      <c r="B51" s="190"/>
      <c r="C51" s="191"/>
      <c r="D51" s="468" t="s">
        <v>27</v>
      </c>
      <c r="E51" s="193"/>
      <c r="F51" s="192"/>
      <c r="G51" s="34">
        <f>IF(F51&lt;&gt;"",F51,VLOOKUP(D51,Lookup!$S$16:$U$25,2,FALSE)*2*E51/1000)</f>
        <v>0</v>
      </c>
      <c r="H51" s="345" t="str">
        <f t="shared" si="0"/>
        <v/>
      </c>
    </row>
    <row r="52" spans="2:8" ht="15" thickBot="1" x14ac:dyDescent="0.35">
      <c r="B52" s="190"/>
      <c r="C52" s="191"/>
      <c r="D52" s="468" t="s">
        <v>27</v>
      </c>
      <c r="E52" s="193"/>
      <c r="F52" s="192"/>
      <c r="G52" s="34">
        <f>IF(F52&lt;&gt;"",F52,VLOOKUP(D52,Lookup!$S$16:$U$25,2,FALSE)*2*E52/1000)</f>
        <v>0</v>
      </c>
      <c r="H52" s="345" t="str">
        <f t="shared" si="0"/>
        <v/>
      </c>
    </row>
    <row r="53" spans="2:8" ht="15" thickBot="1" x14ac:dyDescent="0.35">
      <c r="B53" s="190"/>
      <c r="C53" s="191"/>
      <c r="D53" s="468" t="s">
        <v>27</v>
      </c>
      <c r="E53" s="193"/>
      <c r="F53" s="192"/>
      <c r="G53" s="34">
        <f>IF(F53&lt;&gt;"",F53,VLOOKUP(D53,Lookup!$S$16:$U$25,2,FALSE)*2*E53/1000)</f>
        <v>0</v>
      </c>
      <c r="H53" s="345" t="str">
        <f t="shared" si="0"/>
        <v/>
      </c>
    </row>
    <row r="54" spans="2:8" ht="15" thickBot="1" x14ac:dyDescent="0.35">
      <c r="B54" s="190"/>
      <c r="C54" s="191"/>
      <c r="D54" s="468" t="s">
        <v>27</v>
      </c>
      <c r="E54" s="193"/>
      <c r="F54" s="192"/>
      <c r="G54" s="34">
        <f>IF(F54&lt;&gt;"",F54,VLOOKUP(D54,Lookup!$S$16:$U$25,2,FALSE)*2*E54/1000)</f>
        <v>0</v>
      </c>
      <c r="H54" s="345" t="str">
        <f t="shared" si="0"/>
        <v/>
      </c>
    </row>
    <row r="55" spans="2:8" ht="15" thickBot="1" x14ac:dyDescent="0.35">
      <c r="B55" s="190"/>
      <c r="C55" s="191"/>
      <c r="D55" s="468" t="s">
        <v>27</v>
      </c>
      <c r="E55" s="193"/>
      <c r="F55" s="192"/>
      <c r="G55" s="34">
        <f>IF(F55&lt;&gt;"",F55,VLOOKUP(D55,Lookup!$S$16:$U$25,2,FALSE)*2*E55/1000)</f>
        <v>0</v>
      </c>
      <c r="H55" s="345" t="str">
        <f t="shared" si="0"/>
        <v/>
      </c>
    </row>
    <row r="56" spans="2:8" ht="15" thickBot="1" x14ac:dyDescent="0.35">
      <c r="B56" s="190"/>
      <c r="C56" s="191"/>
      <c r="D56" s="468" t="s">
        <v>27</v>
      </c>
      <c r="E56" s="193"/>
      <c r="F56" s="192"/>
      <c r="G56" s="34">
        <f>IF(F56&lt;&gt;"",F56,VLOOKUP(D56,Lookup!$S$16:$U$25,2,FALSE)*2*E56/1000)</f>
        <v>0</v>
      </c>
      <c r="H56" s="345" t="str">
        <f t="shared" si="0"/>
        <v/>
      </c>
    </row>
    <row r="57" spans="2:8" ht="15" thickBot="1" x14ac:dyDescent="0.35">
      <c r="B57" s="190"/>
      <c r="C57" s="191"/>
      <c r="D57" s="468" t="s">
        <v>27</v>
      </c>
      <c r="E57" s="193"/>
      <c r="F57" s="192"/>
      <c r="G57" s="34">
        <f>IF(F57&lt;&gt;"",F57,VLOOKUP(D57,Lookup!$S$16:$U$25,2,FALSE)*2*E57/1000)</f>
        <v>0</v>
      </c>
      <c r="H57" s="345" t="str">
        <f t="shared" si="0"/>
        <v/>
      </c>
    </row>
    <row r="58" spans="2:8" ht="15" thickBot="1" x14ac:dyDescent="0.35">
      <c r="B58" s="190"/>
      <c r="C58" s="191"/>
      <c r="D58" s="468" t="s">
        <v>27</v>
      </c>
      <c r="E58" s="193"/>
      <c r="F58" s="192"/>
      <c r="G58" s="34">
        <f>IF(F58&lt;&gt;"",F58,VLOOKUP(D58,Lookup!$S$16:$U$25,2,FALSE)*2*E58/1000)</f>
        <v>0</v>
      </c>
      <c r="H58" s="345" t="str">
        <f t="shared" si="0"/>
        <v/>
      </c>
    </row>
    <row r="59" spans="2:8" ht="15" thickBot="1" x14ac:dyDescent="0.35">
      <c r="B59" s="190"/>
      <c r="C59" s="191"/>
      <c r="D59" s="468" t="s">
        <v>27</v>
      </c>
      <c r="E59" s="193"/>
      <c r="F59" s="192"/>
      <c r="G59" s="34">
        <f>IF(F59&lt;&gt;"",F59,VLOOKUP(D59,Lookup!$S$16:$U$25,2,FALSE)*2*E59/1000)</f>
        <v>0</v>
      </c>
      <c r="H59" s="345" t="str">
        <f t="shared" si="0"/>
        <v/>
      </c>
    </row>
    <row r="60" spans="2:8" ht="15" thickBot="1" x14ac:dyDescent="0.35">
      <c r="B60" s="190"/>
      <c r="C60" s="191"/>
      <c r="D60" s="468" t="s">
        <v>27</v>
      </c>
      <c r="E60" s="193"/>
      <c r="F60" s="192"/>
      <c r="G60" s="34">
        <f>IF(F60&lt;&gt;"",F60,VLOOKUP(D60,Lookup!$S$16:$U$25,2,FALSE)*2*E60/1000)</f>
        <v>0</v>
      </c>
      <c r="H60" s="345" t="str">
        <f t="shared" si="0"/>
        <v/>
      </c>
    </row>
    <row r="61" spans="2:8" ht="15" thickBot="1" x14ac:dyDescent="0.35">
      <c r="B61" s="190"/>
      <c r="C61" s="191"/>
      <c r="D61" s="468" t="s">
        <v>27</v>
      </c>
      <c r="E61" s="193"/>
      <c r="F61" s="192"/>
      <c r="G61" s="34">
        <f>IF(F61&lt;&gt;"",F61,VLOOKUP(D61,Lookup!$S$16:$U$25,2,FALSE)*2*E61/1000)</f>
        <v>0</v>
      </c>
      <c r="H61" s="345" t="str">
        <f t="shared" si="0"/>
        <v/>
      </c>
    </row>
    <row r="62" spans="2:8" ht="15" thickBot="1" x14ac:dyDescent="0.35">
      <c r="B62" s="190"/>
      <c r="C62" s="191"/>
      <c r="D62" s="468" t="s">
        <v>27</v>
      </c>
      <c r="E62" s="193"/>
      <c r="F62" s="192"/>
      <c r="G62" s="34">
        <f>IF(F62&lt;&gt;"",F62,VLOOKUP(D62,Lookup!$S$16:$U$25,2,FALSE)*2*E62/1000)</f>
        <v>0</v>
      </c>
      <c r="H62" s="345" t="str">
        <f t="shared" si="0"/>
        <v/>
      </c>
    </row>
    <row r="63" spans="2:8" ht="15" thickBot="1" x14ac:dyDescent="0.35">
      <c r="B63" s="190"/>
      <c r="C63" s="191"/>
      <c r="D63" s="468" t="s">
        <v>27</v>
      </c>
      <c r="E63" s="193"/>
      <c r="F63" s="192"/>
      <c r="G63" s="34">
        <f>IF(F63&lt;&gt;"",F63,VLOOKUP(D63,Lookup!$S$16:$U$25,2,FALSE)*2*E63/1000)</f>
        <v>0</v>
      </c>
      <c r="H63" s="345" t="str">
        <f t="shared" si="0"/>
        <v/>
      </c>
    </row>
    <row r="64" spans="2:8" ht="15" thickBot="1" x14ac:dyDescent="0.35">
      <c r="B64" s="190"/>
      <c r="C64" s="191"/>
      <c r="D64" s="468" t="s">
        <v>27</v>
      </c>
      <c r="E64" s="193"/>
      <c r="F64" s="192"/>
      <c r="G64" s="34">
        <f>IF(F64&lt;&gt;"",F64,VLOOKUP(D64,Lookup!$S$16:$U$25,2,FALSE)*2*E64/1000)</f>
        <v>0</v>
      </c>
      <c r="H64" s="345" t="str">
        <f t="shared" si="0"/>
        <v/>
      </c>
    </row>
    <row r="65" spans="2:8" ht="15" thickBot="1" x14ac:dyDescent="0.35">
      <c r="B65" s="190"/>
      <c r="C65" s="191"/>
      <c r="D65" s="468" t="s">
        <v>27</v>
      </c>
      <c r="E65" s="193"/>
      <c r="F65" s="192"/>
      <c r="G65" s="34">
        <f>IF(F65&lt;&gt;"",F65,VLOOKUP(D65,Lookup!$S$16:$U$25,2,FALSE)*2*E65/1000)</f>
        <v>0</v>
      </c>
      <c r="H65" s="345" t="str">
        <f t="shared" si="0"/>
        <v/>
      </c>
    </row>
    <row r="66" spans="2:8" ht="15" thickBot="1" x14ac:dyDescent="0.35">
      <c r="B66" s="190"/>
      <c r="C66" s="191"/>
      <c r="D66" s="468" t="s">
        <v>27</v>
      </c>
      <c r="E66" s="193"/>
      <c r="F66" s="192"/>
      <c r="G66" s="34">
        <f>IF(F66&lt;&gt;"",F66,VLOOKUP(D66,Lookup!$S$16:$U$25,2,FALSE)*2*E66/1000)</f>
        <v>0</v>
      </c>
      <c r="H66" s="345" t="str">
        <f t="shared" si="0"/>
        <v/>
      </c>
    </row>
    <row r="67" spans="2:8" ht="15" thickBot="1" x14ac:dyDescent="0.35">
      <c r="B67" s="190"/>
      <c r="C67" s="191"/>
      <c r="D67" s="468" t="s">
        <v>27</v>
      </c>
      <c r="E67" s="193"/>
      <c r="F67" s="192"/>
      <c r="G67" s="34">
        <f>IF(F67&lt;&gt;"",F67,VLOOKUP(D67,Lookup!$S$16:$U$25,2,FALSE)*2*E67/1000)</f>
        <v>0</v>
      </c>
      <c r="H67" s="345" t="str">
        <f t="shared" si="0"/>
        <v/>
      </c>
    </row>
    <row r="68" spans="2:8" ht="15" thickBot="1" x14ac:dyDescent="0.35">
      <c r="B68" s="190"/>
      <c r="C68" s="191"/>
      <c r="D68" s="468" t="s">
        <v>27</v>
      </c>
      <c r="E68" s="193"/>
      <c r="F68" s="192"/>
      <c r="G68" s="34">
        <f>IF(F68&lt;&gt;"",F68,VLOOKUP(D68,Lookup!$S$16:$U$25,2,FALSE)*2*E68/1000)</f>
        <v>0</v>
      </c>
      <c r="H68" s="345" t="str">
        <f t="shared" si="0"/>
        <v/>
      </c>
    </row>
    <row r="69" spans="2:8" ht="15" thickBot="1" x14ac:dyDescent="0.35">
      <c r="B69" s="190"/>
      <c r="C69" s="191"/>
      <c r="D69" s="468" t="s">
        <v>27</v>
      </c>
      <c r="E69" s="193"/>
      <c r="F69" s="192"/>
      <c r="G69" s="34">
        <f>IF(F69&lt;&gt;"",F69,VLOOKUP(D69,Lookup!$S$16:$U$25,2,FALSE)*2*E69/1000)</f>
        <v>0</v>
      </c>
      <c r="H69" s="345" t="str">
        <f t="shared" si="0"/>
        <v/>
      </c>
    </row>
    <row r="70" spans="2:8" x14ac:dyDescent="0.3">
      <c r="B70" s="8" t="s">
        <v>473</v>
      </c>
      <c r="C70" s="8"/>
      <c r="D70" s="8"/>
      <c r="E70" s="8"/>
      <c r="F70" s="8"/>
      <c r="G70" s="101">
        <f>SUM(G21:G69)</f>
        <v>12846</v>
      </c>
      <c r="H70" s="346">
        <f>COUNTIF(H21:H69,"🛫 überprüfen!")</f>
        <v>1</v>
      </c>
    </row>
    <row r="73" spans="2:8" ht="20.399999999999999" thickBot="1" x14ac:dyDescent="0.5">
      <c r="B73" s="3" t="s">
        <v>553</v>
      </c>
      <c r="C73" s="3"/>
    </row>
    <row r="74" spans="2:8" ht="15" thickTop="1" x14ac:dyDescent="0.3"/>
    <row r="76" spans="2:8" x14ac:dyDescent="0.3">
      <c r="B76" s="65" t="str">
        <f>B21</f>
        <v>Beispiel Schüleraustausch USA 1</v>
      </c>
      <c r="C76" s="65"/>
      <c r="D76" s="87">
        <f>G21/$G$18</f>
        <v>0.35030359645025688</v>
      </c>
    </row>
    <row r="77" spans="2:8" x14ac:dyDescent="0.3">
      <c r="B77" s="65" t="str">
        <f t="shared" ref="B77:B80" si="1">B22</f>
        <v>Beispiel Schüleraustausch USA 2</v>
      </c>
      <c r="C77" s="65"/>
      <c r="D77" s="87">
        <f>G22/$G$18</f>
        <v>0.60719290051377861</v>
      </c>
    </row>
    <row r="78" spans="2:8" x14ac:dyDescent="0.3">
      <c r="B78" s="65" t="str">
        <f t="shared" si="1"/>
        <v>Beispiel Austausch Frankreich 1</v>
      </c>
      <c r="C78" s="65"/>
      <c r="D78" s="87">
        <f>G23/$G$18</f>
        <v>3.8144169391250197E-3</v>
      </c>
    </row>
    <row r="79" spans="2:8" x14ac:dyDescent="0.3">
      <c r="B79" s="65" t="str">
        <f t="shared" si="1"/>
        <v>Beispiel Austausch  Frankreich 2</v>
      </c>
      <c r="C79" s="65"/>
      <c r="D79" s="87">
        <f>G24/$G$18</f>
        <v>3.8689086096839485E-2</v>
      </c>
    </row>
    <row r="80" spans="2:8" x14ac:dyDescent="0.3">
      <c r="B80" s="65">
        <f t="shared" si="1"/>
        <v>0</v>
      </c>
      <c r="C80" s="65"/>
      <c r="D80" s="87">
        <f>G25/$G$18</f>
        <v>0</v>
      </c>
    </row>
    <row r="81" spans="2:4" x14ac:dyDescent="0.3">
      <c r="B81" t="s">
        <v>78</v>
      </c>
      <c r="D81" s="87">
        <f>1-SUM(D76:D80)</f>
        <v>0</v>
      </c>
    </row>
    <row r="136" spans="9:9" x14ac:dyDescent="0.3">
      <c r="I136" s="8"/>
    </row>
    <row r="138" spans="9:9" x14ac:dyDescent="0.3">
      <c r="I138" s="8"/>
    </row>
    <row r="140" spans="9:9" x14ac:dyDescent="0.3">
      <c r="I140" s="8"/>
    </row>
    <row r="142" spans="9:9" x14ac:dyDescent="0.3">
      <c r="I142" s="8"/>
    </row>
    <row r="143" spans="9:9" x14ac:dyDescent="0.3">
      <c r="I143" s="36"/>
    </row>
    <row r="144" spans="9:9" x14ac:dyDescent="0.3">
      <c r="I144" s="36"/>
    </row>
    <row r="145" spans="9:9" x14ac:dyDescent="0.3">
      <c r="I145" s="36"/>
    </row>
    <row r="146" spans="9:9" x14ac:dyDescent="0.3">
      <c r="I146" s="36"/>
    </row>
    <row r="147" spans="9:9" x14ac:dyDescent="0.3">
      <c r="I147" s="36"/>
    </row>
    <row r="148" spans="9:9" x14ac:dyDescent="0.3">
      <c r="I148" s="36"/>
    </row>
    <row r="149" spans="9:9" x14ac:dyDescent="0.3">
      <c r="I149" s="36"/>
    </row>
    <row r="150" spans="9:9" x14ac:dyDescent="0.3">
      <c r="I150" s="36"/>
    </row>
    <row r="151" spans="9:9" x14ac:dyDescent="0.3">
      <c r="I151" s="36"/>
    </row>
    <row r="152" spans="9:9" x14ac:dyDescent="0.3">
      <c r="I152" s="36"/>
    </row>
    <row r="154" spans="9:9" x14ac:dyDescent="0.3">
      <c r="I154" s="8"/>
    </row>
    <row r="156" spans="9:9" x14ac:dyDescent="0.3">
      <c r="I156" s="8"/>
    </row>
    <row r="157" spans="9:9" x14ac:dyDescent="0.3">
      <c r="I157" s="36"/>
    </row>
    <row r="158" spans="9:9" x14ac:dyDescent="0.3">
      <c r="I158" s="36"/>
    </row>
    <row r="159" spans="9:9" x14ac:dyDescent="0.3">
      <c r="I159" s="36"/>
    </row>
    <row r="160" spans="9:9" x14ac:dyDescent="0.3">
      <c r="I160" s="36"/>
    </row>
    <row r="161" spans="9:9" x14ac:dyDescent="0.3">
      <c r="I161" s="36"/>
    </row>
    <row r="162" spans="9:9" x14ac:dyDescent="0.3">
      <c r="I162" s="36"/>
    </row>
    <row r="163" spans="9:9" x14ac:dyDescent="0.3">
      <c r="I163" s="36"/>
    </row>
    <row r="164" spans="9:9" x14ac:dyDescent="0.3">
      <c r="I164" s="36"/>
    </row>
    <row r="165" spans="9:9" x14ac:dyDescent="0.3">
      <c r="I165" s="36"/>
    </row>
    <row r="166" spans="9:9" x14ac:dyDescent="0.3">
      <c r="I166" s="36"/>
    </row>
    <row r="168" spans="9:9" x14ac:dyDescent="0.3">
      <c r="I168" s="8"/>
    </row>
    <row r="170" spans="9:9" x14ac:dyDescent="0.3">
      <c r="I170" s="8"/>
    </row>
    <row r="172" spans="9:9" x14ac:dyDescent="0.3">
      <c r="I172" s="8"/>
    </row>
    <row r="174" spans="9:9" x14ac:dyDescent="0.3">
      <c r="I174" s="8"/>
    </row>
    <row r="176" spans="9:9" x14ac:dyDescent="0.3">
      <c r="I176" s="8"/>
    </row>
    <row r="178" spans="9:9" x14ac:dyDescent="0.3">
      <c r="I178" s="8"/>
    </row>
    <row r="180" spans="9:9" x14ac:dyDescent="0.3">
      <c r="I180" s="8"/>
    </row>
    <row r="182" spans="9:9" x14ac:dyDescent="0.3">
      <c r="I182" s="8"/>
    </row>
    <row r="183" spans="9:9" x14ac:dyDescent="0.3">
      <c r="I183" s="8"/>
    </row>
    <row r="184" spans="9:9" x14ac:dyDescent="0.3">
      <c r="I184" s="8"/>
    </row>
    <row r="185" spans="9:9" x14ac:dyDescent="0.3">
      <c r="I185" s="36"/>
    </row>
    <row r="186" spans="9:9" x14ac:dyDescent="0.3">
      <c r="I186" s="36"/>
    </row>
    <row r="187" spans="9:9" x14ac:dyDescent="0.3">
      <c r="I187" s="36"/>
    </row>
    <row r="189" spans="9:9" x14ac:dyDescent="0.3">
      <c r="I189" s="8"/>
    </row>
    <row r="191" spans="9:9" x14ac:dyDescent="0.3">
      <c r="I191" s="8"/>
    </row>
    <row r="194" spans="1:6" ht="18" thickBot="1" x14ac:dyDescent="0.4">
      <c r="B194" s="3"/>
      <c r="C194" s="3"/>
      <c r="D194" s="3"/>
      <c r="E194" s="3"/>
      <c r="F194" s="3"/>
    </row>
    <row r="195" spans="1:6" ht="15" thickTop="1" x14ac:dyDescent="0.3"/>
    <row r="196" spans="1:6" ht="18" customHeight="1" x14ac:dyDescent="0.3">
      <c r="A196" s="86"/>
    </row>
    <row r="197" spans="1:6" ht="18" customHeight="1" x14ac:dyDescent="0.3">
      <c r="A197" s="86"/>
    </row>
    <row r="198" spans="1:6" ht="18" customHeight="1" x14ac:dyDescent="0.3">
      <c r="A198" s="86"/>
      <c r="E198" s="85"/>
      <c r="F198" s="85"/>
    </row>
    <row r="199" spans="1:6" ht="18" customHeight="1" x14ac:dyDescent="0.3">
      <c r="A199" s="86"/>
      <c r="E199" s="85"/>
      <c r="F199" s="85"/>
    </row>
    <row r="200" spans="1:6" ht="18" customHeight="1" x14ac:dyDescent="0.3">
      <c r="A200" s="86"/>
      <c r="E200" s="85"/>
      <c r="F200" s="85"/>
    </row>
    <row r="201" spans="1:6" ht="18" customHeight="1" x14ac:dyDescent="0.3">
      <c r="A201" s="86"/>
      <c r="E201" s="85"/>
      <c r="F201" s="85"/>
    </row>
    <row r="202" spans="1:6" ht="18" customHeight="1" x14ac:dyDescent="0.3">
      <c r="A202" s="86"/>
      <c r="E202" s="85"/>
      <c r="F202" s="85"/>
    </row>
    <row r="203" spans="1:6" ht="18" customHeight="1" x14ac:dyDescent="0.3">
      <c r="A203" s="86"/>
      <c r="E203" s="85"/>
      <c r="F203" s="85"/>
    </row>
    <row r="204" spans="1:6" ht="18" customHeight="1" x14ac:dyDescent="0.3">
      <c r="A204" s="86"/>
      <c r="E204" s="85"/>
      <c r="F204" s="85"/>
    </row>
    <row r="205" spans="1:6" ht="18" customHeight="1" x14ac:dyDescent="0.3">
      <c r="A205" s="86"/>
      <c r="E205" s="87"/>
      <c r="F205" s="87"/>
    </row>
    <row r="206" spans="1:6" ht="18" customHeight="1" x14ac:dyDescent="0.3">
      <c r="A206" s="86"/>
      <c r="E206" s="87"/>
      <c r="F206" s="87"/>
    </row>
    <row r="207" spans="1:6" ht="18" customHeight="1" x14ac:dyDescent="0.3">
      <c r="A207" s="86"/>
      <c r="E207" s="87"/>
      <c r="F207" s="87"/>
    </row>
    <row r="208" spans="1:6" ht="18" customHeight="1" x14ac:dyDescent="0.3">
      <c r="A208" s="86"/>
    </row>
    <row r="209" spans="1:1" ht="18" customHeight="1" x14ac:dyDescent="0.3">
      <c r="A209" s="86"/>
    </row>
    <row r="210" spans="1:1" ht="19.2" customHeight="1" x14ac:dyDescent="0.3">
      <c r="A210" s="86"/>
    </row>
    <row r="211" spans="1:1" ht="19.2" customHeight="1" x14ac:dyDescent="0.3">
      <c r="A211" s="86"/>
    </row>
    <row r="212" spans="1:1" ht="19.2" customHeight="1" x14ac:dyDescent="0.3">
      <c r="A212" s="86"/>
    </row>
    <row r="213" spans="1:1" ht="19.2" customHeight="1" x14ac:dyDescent="0.3">
      <c r="A213" s="86"/>
    </row>
    <row r="214" spans="1:1" ht="19.2" customHeight="1" x14ac:dyDescent="0.3">
      <c r="A214" s="86"/>
    </row>
    <row r="215" spans="1:1" ht="19.2" customHeight="1" x14ac:dyDescent="0.3">
      <c r="A215" s="86"/>
    </row>
    <row r="216" spans="1:1" ht="19.2" customHeight="1" x14ac:dyDescent="0.3">
      <c r="A216" s="86"/>
    </row>
    <row r="217" spans="1:1" ht="19.2" customHeight="1" x14ac:dyDescent="0.3">
      <c r="A217" s="86"/>
    </row>
  </sheetData>
  <sheetProtection algorithmName="SHA-512" hashValue="DlS8F/GIRAw4WjzLKqnMq9GvF2TLcCQBLpWdqiDtDGY8LOBUq/t+de+NPjFiZwmnAwh25uCwFCnoWvfetMD40A==" saltValue="TdFJ8tDGtpAaruWFsUcCvg==" spinCount="100000" sheet="1" objects="1" scenarios="1"/>
  <autoFilter ref="B20:G69">
    <sortState ref="B21:G69">
      <sortCondition descending="1" ref="G20:G69"/>
    </sortState>
  </autoFilter>
  <mergeCells count="2">
    <mergeCell ref="B7:G11"/>
    <mergeCell ref="D16:E16"/>
  </mergeCells>
  <hyperlinks>
    <hyperlink ref="A5" location="Inhalt!A1" display="&lt;= Start"/>
    <hyperlink ref="D16" location="Inhalt!A1" display="&lt;== zur Übersicht"/>
    <hyperlink ref="G16" location="Ergebnis!A1" display="zum Ergebnis ==&gt;"/>
    <hyperlink ref="D16:E16" location="Schulwege!A1" display="&lt;== zur Übersicht Verkehr   "/>
    <hyperlink ref="D14" r:id="rId1"/>
  </hyperlinks>
  <pageMargins left="0.7" right="0.7" top="0.75" bottom="0.75" header="0.3" footer="0.3"/>
  <pageSetup paperSize="9" orientation="portrait" horizontalDpi="4294967295" verticalDpi="4294967295"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Lookup!$S$16:$S$24</xm:f>
          </x14:formula1>
          <xm:sqref>D21:D69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87BD25"/>
  </sheetPr>
  <dimension ref="A1:AZ944"/>
  <sheetViews>
    <sheetView showGridLines="0" zoomScaleNormal="100" workbookViewId="0">
      <selection activeCell="H12" sqref="H12"/>
    </sheetView>
  </sheetViews>
  <sheetFormatPr baseColWidth="10" defaultColWidth="0" defaultRowHeight="14.4" zeroHeight="1" x14ac:dyDescent="0.3"/>
  <cols>
    <col min="1" max="1" width="9.109375" customWidth="1"/>
    <col min="2" max="2" width="9.88671875" customWidth="1"/>
    <col min="3" max="3" width="31.21875" customWidth="1"/>
    <col min="4" max="4" width="31.88671875" customWidth="1"/>
    <col min="5" max="5" width="17.88671875" customWidth="1"/>
    <col min="6" max="6" width="15.5546875" customWidth="1"/>
    <col min="7" max="7" width="15.6640625" customWidth="1"/>
    <col min="8" max="8" width="14" customWidth="1"/>
    <col min="9" max="9" width="12.44140625" bestFit="1" customWidth="1"/>
    <col min="10" max="10" width="12.77734375" customWidth="1"/>
    <col min="11" max="13" width="9.109375" customWidth="1"/>
    <col min="14" max="14" width="15.5546875" customWidth="1"/>
    <col min="15" max="15" width="11.109375" hidden="1" customWidth="1"/>
    <col min="16" max="16" width="4.44140625" hidden="1" customWidth="1"/>
    <col min="17" max="17" width="24.109375" hidden="1" customWidth="1"/>
    <col min="18" max="20" width="9.109375" hidden="1" customWidth="1"/>
    <col min="21" max="21" width="30.44140625" hidden="1" customWidth="1"/>
    <col min="22" max="23" width="9.109375" hidden="1" customWidth="1"/>
    <col min="24" max="24" width="27.6640625" hidden="1" customWidth="1"/>
    <col min="25" max="26" width="14.88671875" hidden="1" customWidth="1"/>
    <col min="27" max="27" width="21.6640625" hidden="1" customWidth="1"/>
    <col min="28" max="28" width="8.88671875" hidden="1" customWidth="1"/>
    <col min="29" max="16384" width="9.109375" hidden="1"/>
  </cols>
  <sheetData>
    <row r="1" spans="1:15" ht="12" customHeight="1" x14ac:dyDescent="0.3">
      <c r="A1" s="1"/>
      <c r="B1" s="1"/>
      <c r="C1" s="1"/>
      <c r="D1" s="1"/>
      <c r="E1" s="1"/>
      <c r="F1" s="1"/>
      <c r="G1" s="1"/>
      <c r="H1" s="1"/>
      <c r="I1" s="1"/>
      <c r="J1" s="1"/>
      <c r="K1" s="1"/>
      <c r="L1" s="1"/>
      <c r="M1" s="1"/>
      <c r="N1" s="1"/>
      <c r="O1" s="1"/>
    </row>
    <row r="2" spans="1:15" ht="12" customHeight="1" x14ac:dyDescent="0.3">
      <c r="A2" s="1"/>
      <c r="B2" s="1"/>
      <c r="C2" s="1"/>
      <c r="D2" s="1"/>
      <c r="E2" s="1"/>
      <c r="F2" s="1"/>
      <c r="G2" s="1"/>
      <c r="H2" s="1"/>
      <c r="I2" s="1"/>
      <c r="J2" s="1"/>
      <c r="K2" s="1"/>
      <c r="L2" s="1"/>
      <c r="M2" s="1"/>
      <c r="N2" s="1"/>
      <c r="O2" s="1"/>
    </row>
    <row r="3" spans="1:15" ht="32.4" customHeight="1" x14ac:dyDescent="0.55000000000000004">
      <c r="A3" s="1"/>
      <c r="B3" s="1"/>
      <c r="C3" s="1"/>
      <c r="D3" s="2" t="s">
        <v>117</v>
      </c>
      <c r="E3" s="1"/>
      <c r="F3" s="2"/>
      <c r="G3" s="1"/>
      <c r="H3" s="1"/>
      <c r="I3" s="1"/>
      <c r="J3" s="2"/>
      <c r="K3" s="1"/>
      <c r="L3" s="1"/>
      <c r="M3" s="1"/>
      <c r="N3" s="1"/>
      <c r="O3" s="1"/>
    </row>
    <row r="4" spans="1:15" ht="18.45" customHeight="1" thickBot="1" x14ac:dyDescent="0.4">
      <c r="A4" s="29"/>
      <c r="B4" s="102"/>
      <c r="C4" s="102"/>
      <c r="D4" s="347" t="str">
        <f>NameDerSchule</f>
        <v>Schule ABC</v>
      </c>
      <c r="E4" s="29"/>
      <c r="F4" s="29"/>
      <c r="G4" s="29"/>
      <c r="H4" s="29"/>
      <c r="I4" s="29"/>
      <c r="J4" s="29"/>
      <c r="K4" s="29"/>
      <c r="L4" s="29"/>
      <c r="M4" s="29"/>
      <c r="N4" s="29"/>
      <c r="O4" s="29"/>
    </row>
    <row r="5" spans="1:15" ht="15" thickTop="1" x14ac:dyDescent="0.3">
      <c r="A5" s="26" t="s">
        <v>63</v>
      </c>
    </row>
    <row r="6" spans="1:15" ht="18" thickBot="1" x14ac:dyDescent="0.4">
      <c r="B6" s="496" t="s">
        <v>1315</v>
      </c>
      <c r="C6" s="496"/>
      <c r="D6" s="496"/>
      <c r="E6" s="496"/>
      <c r="F6" s="496"/>
      <c r="G6" s="496"/>
    </row>
    <row r="7" spans="1:15" ht="15" thickTop="1" x14ac:dyDescent="0.3"/>
    <row r="8" spans="1:15" x14ac:dyDescent="0.3">
      <c r="B8" s="201" t="s">
        <v>1484</v>
      </c>
    </row>
    <row r="9" spans="1:15" x14ac:dyDescent="0.3">
      <c r="B9" s="201" t="s">
        <v>1486</v>
      </c>
    </row>
    <row r="10" spans="1:15" x14ac:dyDescent="0.3">
      <c r="B10" s="201" t="s">
        <v>1487</v>
      </c>
    </row>
    <row r="11" spans="1:15" x14ac:dyDescent="0.3">
      <c r="B11" s="201" t="s">
        <v>1483</v>
      </c>
    </row>
    <row r="12" spans="1:15" x14ac:dyDescent="0.3">
      <c r="B12" s="552" t="s">
        <v>1482</v>
      </c>
    </row>
    <row r="13" spans="1:15" x14ac:dyDescent="0.3">
      <c r="B13" s="552" t="s">
        <v>1489</v>
      </c>
    </row>
    <row r="14" spans="1:15" x14ac:dyDescent="0.3">
      <c r="B14" s="552" t="s">
        <v>1490</v>
      </c>
    </row>
    <row r="15" spans="1:15" x14ac:dyDescent="0.3">
      <c r="B15" s="552" t="s">
        <v>1491</v>
      </c>
    </row>
    <row r="16" spans="1:15" x14ac:dyDescent="0.3">
      <c r="B16" s="552" t="s">
        <v>1492</v>
      </c>
    </row>
    <row r="17" spans="2:7" ht="15" customHeight="1" x14ac:dyDescent="0.3">
      <c r="B17" s="552" t="s">
        <v>1493</v>
      </c>
    </row>
    <row r="18" spans="2:7" x14ac:dyDescent="0.3">
      <c r="B18" s="201" t="s">
        <v>1494</v>
      </c>
    </row>
    <row r="19" spans="2:7" x14ac:dyDescent="0.3">
      <c r="B19" s="201" t="s">
        <v>1495</v>
      </c>
    </row>
    <row r="20" spans="2:7" x14ac:dyDescent="0.3"/>
    <row r="21" spans="2:7" x14ac:dyDescent="0.3"/>
    <row r="22" spans="2:7" ht="19.8" customHeight="1" x14ac:dyDescent="0.3"/>
    <row r="23" spans="2:7" x14ac:dyDescent="0.3"/>
    <row r="24" spans="2:7" ht="18" thickBot="1" x14ac:dyDescent="0.4">
      <c r="B24" s="496" t="s">
        <v>1484</v>
      </c>
      <c r="C24" s="496"/>
      <c r="D24" s="496"/>
      <c r="E24" s="496"/>
      <c r="F24" s="496"/>
    </row>
    <row r="25" spans="2:7" ht="15" thickTop="1" x14ac:dyDescent="0.3"/>
    <row r="26" spans="2:7" ht="57" customHeight="1" x14ac:dyDescent="0.3">
      <c r="B26" s="652" t="s">
        <v>1485</v>
      </c>
      <c r="C26" s="653"/>
      <c r="D26" s="653"/>
      <c r="E26" s="653"/>
      <c r="F26" s="653"/>
      <c r="G26" s="654"/>
    </row>
    <row r="27" spans="2:7" ht="57" customHeight="1" x14ac:dyDescent="0.3">
      <c r="B27" s="655"/>
      <c r="C27" s="656"/>
      <c r="D27" s="656"/>
      <c r="E27" s="656"/>
      <c r="F27" s="656"/>
      <c r="G27" s="657"/>
    </row>
    <row r="28" spans="2:7" ht="15" thickBot="1" x14ac:dyDescent="0.35"/>
    <row r="29" spans="2:7" ht="15" thickBot="1" x14ac:dyDescent="0.35">
      <c r="B29" s="8" t="s">
        <v>1061</v>
      </c>
      <c r="D29" s="479" t="s">
        <v>1481</v>
      </c>
    </row>
    <row r="30" spans="2:7" x14ac:dyDescent="0.3"/>
    <row r="31" spans="2:7" ht="18" thickBot="1" x14ac:dyDescent="0.4">
      <c r="B31" s="496" t="s">
        <v>1486</v>
      </c>
      <c r="C31" s="496"/>
      <c r="D31" s="496"/>
      <c r="E31" s="496"/>
      <c r="F31" s="496"/>
    </row>
    <row r="32" spans="2:7" ht="15" thickTop="1" x14ac:dyDescent="0.3"/>
    <row r="33" spans="2:20" x14ac:dyDescent="0.3"/>
    <row r="34" spans="2:20" x14ac:dyDescent="0.3">
      <c r="B34" t="s">
        <v>959</v>
      </c>
      <c r="E34" s="291">
        <v>185</v>
      </c>
    </row>
    <row r="35" spans="2:20" x14ac:dyDescent="0.3">
      <c r="B35" t="s">
        <v>1031</v>
      </c>
      <c r="E35" s="291">
        <v>200</v>
      </c>
    </row>
    <row r="36" spans="2:20" x14ac:dyDescent="0.3">
      <c r="B36" s="456" t="str">
        <f>IF(E35&lt;&gt;"","Es wird mit  "&amp;IF(E35&lt;&gt;"",E35,D505)&amp;" verkauften Portionen pro Tag gerechnet. Dies entspricht "&amp;TEXT(IF(E35&lt;&gt;"",E35,D505)/AnzahlSchueler,"0 %")&amp;" Prozent der Schüler:innen.","")</f>
        <v>Es wird mit  200 verkauften Portionen pro Tag gerechnet. Dies entspricht 20 % Prozent der Schüler:innen.</v>
      </c>
    </row>
    <row r="37" spans="2:20" x14ac:dyDescent="0.3"/>
    <row r="38" spans="2:20" ht="28.8" x14ac:dyDescent="0.3">
      <c r="B38" s="397" t="s">
        <v>1033</v>
      </c>
      <c r="C38" s="398"/>
      <c r="D38" s="399" t="s">
        <v>1034</v>
      </c>
      <c r="E38" s="399" t="s">
        <v>1040</v>
      </c>
      <c r="F38" s="399" t="s">
        <v>1035</v>
      </c>
      <c r="G38" s="399" t="s">
        <v>1036</v>
      </c>
    </row>
    <row r="39" spans="2:20" x14ac:dyDescent="0.3">
      <c r="B39" s="395" t="s">
        <v>1037</v>
      </c>
      <c r="C39" s="396"/>
      <c r="D39" s="389">
        <v>0.4</v>
      </c>
      <c r="E39" s="390">
        <f>ROUND($E$35*D39,0)</f>
        <v>80</v>
      </c>
      <c r="F39" s="391">
        <v>1.5</v>
      </c>
      <c r="G39" s="394">
        <f>E39*F39</f>
        <v>120</v>
      </c>
    </row>
    <row r="40" spans="2:20" x14ac:dyDescent="0.3">
      <c r="B40" s="395" t="s">
        <v>1038</v>
      </c>
      <c r="C40" s="396"/>
      <c r="D40" s="389">
        <v>0.5</v>
      </c>
      <c r="E40" s="390">
        <f>ROUND($E$35*D40,0)</f>
        <v>100</v>
      </c>
      <c r="F40" s="391">
        <v>0.8</v>
      </c>
      <c r="G40" s="394">
        <f t="shared" ref="G40:G41" si="0">E40*F40</f>
        <v>80</v>
      </c>
    </row>
    <row r="41" spans="2:20" x14ac:dyDescent="0.3">
      <c r="B41" s="395" t="s">
        <v>1039</v>
      </c>
      <c r="C41" s="396"/>
      <c r="D41" s="438">
        <f>100%-D39-D40</f>
        <v>9.9999999999999978E-2</v>
      </c>
      <c r="E41" s="392">
        <f>E35-SUM(E39:E40)</f>
        <v>20</v>
      </c>
      <c r="F41" s="391">
        <v>0.5</v>
      </c>
      <c r="G41" s="394">
        <f t="shared" si="0"/>
        <v>10</v>
      </c>
    </row>
    <row r="42" spans="2:20" x14ac:dyDescent="0.3">
      <c r="B42" s="495" t="str">
        <f>IF(SUM(D39:D40)&gt;1,"Achtung: Prozentuale Verteilung überprüfen!","")</f>
        <v/>
      </c>
      <c r="G42" s="393">
        <f>SUM(G39:G41)</f>
        <v>210</v>
      </c>
    </row>
    <row r="43" spans="2:20" x14ac:dyDescent="0.3">
      <c r="G43" s="78" t="str">
        <f>"* "&amp;E34&amp; " Tage"</f>
        <v>* 185 Tage</v>
      </c>
    </row>
    <row r="44" spans="2:20" x14ac:dyDescent="0.3">
      <c r="G44" s="394">
        <f>G42*E34</f>
        <v>38850</v>
      </c>
    </row>
    <row r="45" spans="2:20" x14ac:dyDescent="0.3">
      <c r="B45" s="457" t="str">
        <f>IF(AND($D$29="detaillierter Rechner",$G$44&lt;&gt;0),"Es wurde die detaillierte Berechnungsmethode gewählt. Die hier abgeschätzten CO₂-Emissionen werden daher nicht für die CO₂-Bilanz verwendet","")</f>
        <v/>
      </c>
    </row>
    <row r="46" spans="2:20" x14ac:dyDescent="0.3"/>
    <row r="47" spans="2:20" x14ac:dyDescent="0.3">
      <c r="B47" s="384"/>
    </row>
    <row r="48" spans="2:20" ht="18" customHeight="1" thickBot="1" x14ac:dyDescent="0.4">
      <c r="B48" s="496" t="s">
        <v>1487</v>
      </c>
      <c r="C48" s="496"/>
      <c r="D48" s="496"/>
      <c r="E48" s="496"/>
      <c r="T48" s="84"/>
    </row>
    <row r="49" spans="2:20" ht="18" customHeight="1" thickTop="1" x14ac:dyDescent="0.3">
      <c r="T49" s="84"/>
    </row>
    <row r="50" spans="2:20" ht="18" customHeight="1" x14ac:dyDescent="0.3">
      <c r="B50" s="639" t="s">
        <v>1374</v>
      </c>
      <c r="C50" s="650"/>
      <c r="D50" s="650"/>
      <c r="E50" s="650"/>
      <c r="F50" s="651"/>
      <c r="T50" s="84"/>
    </row>
    <row r="51" spans="2:20" ht="18" customHeight="1" x14ac:dyDescent="0.3">
      <c r="B51" s="648"/>
      <c r="C51" s="600"/>
      <c r="D51" s="600"/>
      <c r="E51" s="600"/>
      <c r="F51" s="649"/>
      <c r="T51" s="84"/>
    </row>
    <row r="52" spans="2:20" ht="18" customHeight="1" x14ac:dyDescent="0.3">
      <c r="B52" s="658"/>
      <c r="C52" s="659"/>
      <c r="D52" s="659"/>
      <c r="E52" s="659"/>
      <c r="F52" s="660"/>
      <c r="T52" s="84"/>
    </row>
    <row r="53" spans="2:20" ht="18" customHeight="1" x14ac:dyDescent="0.3">
      <c r="T53" s="84"/>
    </row>
    <row r="54" spans="2:20" ht="18" customHeight="1" x14ac:dyDescent="0.3">
      <c r="B54" s="532" t="s">
        <v>1207</v>
      </c>
      <c r="C54" s="532"/>
      <c r="D54" s="532"/>
      <c r="T54" s="84"/>
    </row>
    <row r="55" spans="2:20" ht="18" customHeight="1" x14ac:dyDescent="0.3">
      <c r="B55" t="s">
        <v>1211</v>
      </c>
      <c r="T55" s="84"/>
    </row>
    <row r="56" spans="2:20" ht="18" customHeight="1" x14ac:dyDescent="0.3">
      <c r="B56" t="s">
        <v>1212</v>
      </c>
      <c r="T56" s="84"/>
    </row>
    <row r="57" spans="2:20" ht="18" customHeight="1" thickBot="1" x14ac:dyDescent="0.35">
      <c r="B57" t="s">
        <v>1155</v>
      </c>
      <c r="D57" s="476"/>
      <c r="T57" s="84"/>
    </row>
    <row r="58" spans="2:20" ht="18" customHeight="1" thickBot="1" x14ac:dyDescent="0.35">
      <c r="B58" t="s">
        <v>1043</v>
      </c>
      <c r="D58" s="477" t="s">
        <v>51</v>
      </c>
      <c r="E58" s="474" t="str">
        <f>IF(D58="Liter","Ein Liter Abfälle entspricht etwa "&amp;UmrechnungsfaktorEssensresteLiterInKG&amp;" kg Abfälle","")</f>
        <v/>
      </c>
      <c r="T58" s="84"/>
    </row>
    <row r="59" spans="2:20" ht="18" customHeight="1" thickBot="1" x14ac:dyDescent="0.35">
      <c r="B59" t="s">
        <v>348</v>
      </c>
      <c r="D59" s="477" t="s">
        <v>350</v>
      </c>
      <c r="E59" s="475" t="str">
        <f>IF(AND(D57&lt;&gt;"",D57&lt;&gt;0,OR(D58="Einheit wählen",D59="Zeitraum wählen")),"Einheit oder Zeitraum sind nicht ausgewählt","")</f>
        <v/>
      </c>
      <c r="T59" s="84"/>
    </row>
    <row r="60" spans="2:20" ht="18" customHeight="1" x14ac:dyDescent="0.3">
      <c r="T60" s="84"/>
    </row>
    <row r="61" spans="2:20" ht="18" customHeight="1" x14ac:dyDescent="0.3">
      <c r="B61" t="s">
        <v>1151</v>
      </c>
      <c r="D61" s="408">
        <f>IF(OR(D58="Einheit wählen",D59="Zeitraum wählen"),0,D57*IF(D58="Liter",UmrechnungsfaktorEssensresteLiterInKG,IF(D58="kg",1,1))*IF(D59="pro Schultag",AnzahlSchultage,IF(D59="pro Schulwoche",AnzahlSchultage/5,IF(D59="pro Schuljahr",1,0))))</f>
        <v>0</v>
      </c>
      <c r="T61" s="84"/>
    </row>
    <row r="62" spans="2:20" ht="18" customHeight="1" x14ac:dyDescent="0.3">
      <c r="B62" t="s">
        <v>1152</v>
      </c>
      <c r="D62" s="406">
        <f>IF($D$29="detaillierter Rechner",$E$142*$E$143,$E$34*$E$35)</f>
        <v>37000</v>
      </c>
      <c r="T62" s="84"/>
    </row>
    <row r="63" spans="2:20" ht="18" customHeight="1" x14ac:dyDescent="0.3">
      <c r="B63" t="s">
        <v>1154</v>
      </c>
      <c r="D63" s="406">
        <f>D61/D62*1000</f>
        <v>0</v>
      </c>
      <c r="T63" s="84"/>
    </row>
    <row r="64" spans="2:20" ht="18" customHeight="1" x14ac:dyDescent="0.3">
      <c r="T64" s="84"/>
    </row>
    <row r="65" spans="2:20" ht="18" customHeight="1" x14ac:dyDescent="0.3">
      <c r="B65" s="532" t="s">
        <v>1208</v>
      </c>
      <c r="C65" s="532"/>
      <c r="D65" s="532"/>
      <c r="T65" s="84"/>
    </row>
    <row r="66" spans="2:20" ht="18" customHeight="1" x14ac:dyDescent="0.3">
      <c r="B66" s="8"/>
      <c r="T66" s="84"/>
    </row>
    <row r="67" spans="2:20" ht="18" customHeight="1" thickBot="1" x14ac:dyDescent="0.35">
      <c r="B67" t="s">
        <v>1156</v>
      </c>
      <c r="D67" s="476"/>
      <c r="T67" s="84"/>
    </row>
    <row r="68" spans="2:20" ht="18" customHeight="1" thickBot="1" x14ac:dyDescent="0.35">
      <c r="B68" t="s">
        <v>1043</v>
      </c>
      <c r="D68" s="477" t="s">
        <v>50</v>
      </c>
      <c r="E68" s="474" t="str">
        <f>IF(D68="Liter","Ein Liter Abfälle entspricht etwa "&amp;UmrechnungsfaktorEssensresteLiterInKG&amp;" kg Abfälle","")</f>
        <v>Ein Liter Abfälle entspricht etwa 0,5 kg Abfälle</v>
      </c>
      <c r="T68" s="84"/>
    </row>
    <row r="69" spans="2:20" ht="18" customHeight="1" thickBot="1" x14ac:dyDescent="0.35">
      <c r="B69" t="s">
        <v>348</v>
      </c>
      <c r="D69" s="477" t="s">
        <v>349</v>
      </c>
      <c r="E69" s="475" t="str">
        <f>IF(AND(D67&lt;&gt;"",D67&lt;&gt;0,OR(D68="Einheit wählen",D69="Zeitraum wählen")),"Einheit oder Zeitraum sind nicht ausgewählt","")</f>
        <v/>
      </c>
      <c r="T69" s="84"/>
    </row>
    <row r="70" spans="2:20" ht="18" customHeight="1" x14ac:dyDescent="0.3">
      <c r="T70" s="84"/>
    </row>
    <row r="71" spans="2:20" ht="18" customHeight="1" x14ac:dyDescent="0.3">
      <c r="B71" t="s">
        <v>1157</v>
      </c>
      <c r="D71" s="408">
        <f>IF(OR(D68="Einheit wählen",D69="Zeitraum wählen"),0,D67*IF(D68="Liter",UmrechnungsfaktorEssensresteLiterInKG,IF(D68="kg",1,1))*IF(D69="pro Schultag",AnzahlSchultage,IF(D69="pro Schulwoche",AnzahlSchultage/5,IF(D69="pro Schuljahr",1,0))))</f>
        <v>0</v>
      </c>
      <c r="T71" s="84"/>
    </row>
    <row r="72" spans="2:20" ht="18" customHeight="1" x14ac:dyDescent="0.3">
      <c r="B72" t="s">
        <v>1152</v>
      </c>
      <c r="D72" s="406">
        <f>IF($D$29="detaillierter Rechner",$E$142*$E$143,$E$34*$E$35)</f>
        <v>37000</v>
      </c>
      <c r="T72" s="84"/>
    </row>
    <row r="73" spans="2:20" ht="18" customHeight="1" x14ac:dyDescent="0.3">
      <c r="B73" t="s">
        <v>1154</v>
      </c>
      <c r="D73" s="406">
        <f>D71/D72*1000</f>
        <v>0</v>
      </c>
      <c r="T73" s="84"/>
    </row>
    <row r="74" spans="2:20" ht="18" customHeight="1" x14ac:dyDescent="0.3">
      <c r="B74" t="s">
        <v>1209</v>
      </c>
      <c r="D74" s="491">
        <f>D73/400</f>
        <v>0</v>
      </c>
      <c r="T74" s="84"/>
    </row>
    <row r="75" spans="2:20" ht="18" customHeight="1" x14ac:dyDescent="0.3">
      <c r="B75" s="8" t="s">
        <v>1168</v>
      </c>
      <c r="C75" s="413" t="str">
        <f>IF(AND($D$67&lt;&gt;"",$E$69=""),IF(D74&lt;=GrenzwertEssensresteSehrGut,TextEssensresteSehrGut,IF(D74&lt;=GrenzwertEssensresteGut,TextEssensresteGut,IF(D74&lt;=GrenzwertEssensresteMittel,TextEssensresteMittel,TextEssensresteSchlecht))),"")</f>
        <v/>
      </c>
      <c r="T75" s="84"/>
    </row>
    <row r="76" spans="2:20" ht="18" customHeight="1" x14ac:dyDescent="0.3">
      <c r="T76" s="84"/>
    </row>
    <row r="77" spans="2:20" x14ac:dyDescent="0.3"/>
    <row r="78" spans="2:20" ht="18" thickBot="1" x14ac:dyDescent="0.4">
      <c r="B78" s="496" t="s">
        <v>1483</v>
      </c>
      <c r="C78" s="496"/>
      <c r="D78" s="496"/>
      <c r="E78" s="496"/>
      <c r="F78" s="496"/>
    </row>
    <row r="79" spans="2:20" ht="15" thickTop="1" x14ac:dyDescent="0.3"/>
    <row r="80" spans="2:20" ht="18" thickBot="1" x14ac:dyDescent="0.4">
      <c r="B80" s="496" t="s">
        <v>1488</v>
      </c>
      <c r="C80" s="496"/>
      <c r="D80" s="496"/>
      <c r="E80" s="496"/>
      <c r="F80" s="496"/>
    </row>
    <row r="81" spans="2:10" ht="15" thickTop="1" x14ac:dyDescent="0.3"/>
    <row r="82" spans="2:10" ht="18.600000000000001" customHeight="1" x14ac:dyDescent="0.3">
      <c r="B82" s="639" t="s">
        <v>1251</v>
      </c>
      <c r="C82" s="650"/>
      <c r="D82" s="650"/>
      <c r="E82" s="650"/>
      <c r="F82" s="650"/>
      <c r="G82" s="651"/>
      <c r="H82" s="325"/>
      <c r="I82" s="325"/>
      <c r="J82" s="325"/>
    </row>
    <row r="83" spans="2:10" ht="25.2" customHeight="1" x14ac:dyDescent="0.3">
      <c r="B83" s="648"/>
      <c r="C83" s="600"/>
      <c r="D83" s="600"/>
      <c r="E83" s="600"/>
      <c r="F83" s="600"/>
      <c r="G83" s="649"/>
      <c r="H83" s="325"/>
      <c r="I83" s="325"/>
      <c r="J83" s="325"/>
    </row>
    <row r="84" spans="2:10" ht="7.2" customHeight="1" x14ac:dyDescent="0.3">
      <c r="B84" s="236"/>
      <c r="C84" s="108"/>
      <c r="D84" s="108"/>
      <c r="E84" s="108"/>
      <c r="F84" s="108"/>
      <c r="G84" s="237"/>
      <c r="H84" s="108"/>
      <c r="I84" s="108"/>
      <c r="J84" s="108"/>
    </row>
    <row r="85" spans="2:10" ht="18.600000000000001" customHeight="1" x14ac:dyDescent="0.3">
      <c r="B85" s="648" t="s">
        <v>583</v>
      </c>
      <c r="C85" s="600"/>
      <c r="D85" s="600"/>
      <c r="E85" s="600"/>
      <c r="F85" s="600"/>
      <c r="G85" s="649"/>
      <c r="H85" s="325"/>
      <c r="I85" s="325"/>
      <c r="J85" s="325"/>
    </row>
    <row r="86" spans="2:10" ht="30" customHeight="1" x14ac:dyDescent="0.3">
      <c r="B86" s="648"/>
      <c r="C86" s="600"/>
      <c r="D86" s="600"/>
      <c r="E86" s="600"/>
      <c r="F86" s="600"/>
      <c r="G86" s="649"/>
      <c r="H86" s="325"/>
      <c r="I86" s="325"/>
      <c r="J86" s="325"/>
    </row>
    <row r="87" spans="2:10" ht="18.600000000000001" customHeight="1" x14ac:dyDescent="0.3">
      <c r="B87" s="648"/>
      <c r="C87" s="600"/>
      <c r="D87" s="600"/>
      <c r="E87" s="600"/>
      <c r="F87" s="600"/>
      <c r="G87" s="649"/>
      <c r="H87" s="325"/>
      <c r="I87" s="325"/>
      <c r="J87" s="325"/>
    </row>
    <row r="88" spans="2:10" ht="7.2" customHeight="1" x14ac:dyDescent="0.3">
      <c r="B88" s="236"/>
      <c r="C88" s="108"/>
      <c r="D88" s="108"/>
      <c r="E88" s="108"/>
      <c r="F88" s="108"/>
      <c r="G88" s="237"/>
      <c r="H88" s="108"/>
      <c r="I88" s="108"/>
      <c r="J88" s="108"/>
    </row>
    <row r="89" spans="2:10" ht="16.8" customHeight="1" x14ac:dyDescent="0.3">
      <c r="B89" s="648" t="s">
        <v>1234</v>
      </c>
      <c r="C89" s="600"/>
      <c r="D89" s="600"/>
      <c r="E89" s="600"/>
      <c r="F89" s="600"/>
      <c r="G89" s="649"/>
      <c r="H89" s="325"/>
      <c r="I89" s="325"/>
      <c r="J89" s="325"/>
    </row>
    <row r="90" spans="2:10" ht="18.600000000000001" customHeight="1" x14ac:dyDescent="0.3">
      <c r="B90" s="648"/>
      <c r="C90" s="600"/>
      <c r="D90" s="600"/>
      <c r="E90" s="600"/>
      <c r="F90" s="600"/>
      <c r="G90" s="649"/>
      <c r="H90" s="325"/>
      <c r="I90" s="325"/>
      <c r="J90" s="325"/>
    </row>
    <row r="91" spans="2:10" ht="29.4" customHeight="1" x14ac:dyDescent="0.3">
      <c r="B91" s="648"/>
      <c r="C91" s="600"/>
      <c r="D91" s="600"/>
      <c r="E91" s="600"/>
      <c r="F91" s="600"/>
      <c r="G91" s="649"/>
      <c r="H91" s="325"/>
      <c r="I91" s="325"/>
      <c r="J91" s="325"/>
    </row>
    <row r="92" spans="2:10" ht="7.2" customHeight="1" x14ac:dyDescent="0.3">
      <c r="B92" s="236"/>
      <c r="C92" s="108"/>
      <c r="D92" s="108"/>
      <c r="E92" s="108"/>
      <c r="F92" s="108"/>
      <c r="G92" s="237"/>
      <c r="H92" s="108"/>
      <c r="I92" s="108"/>
      <c r="J92" s="108"/>
    </row>
    <row r="93" spans="2:10" ht="28.2" customHeight="1" x14ac:dyDescent="0.3">
      <c r="B93" s="648" t="s">
        <v>584</v>
      </c>
      <c r="C93" s="600"/>
      <c r="D93" s="600"/>
      <c r="E93" s="600"/>
      <c r="F93" s="600"/>
      <c r="G93" s="649"/>
      <c r="H93" s="325"/>
      <c r="I93" s="325"/>
      <c r="J93" s="325"/>
    </row>
    <row r="94" spans="2:10" ht="28.2" customHeight="1" x14ac:dyDescent="0.3">
      <c r="B94" s="648"/>
      <c r="C94" s="600"/>
      <c r="D94" s="600"/>
      <c r="E94" s="600"/>
      <c r="F94" s="600"/>
      <c r="G94" s="649"/>
      <c r="H94" s="325"/>
      <c r="I94" s="325"/>
      <c r="J94" s="325"/>
    </row>
    <row r="95" spans="2:10" ht="36" customHeight="1" x14ac:dyDescent="0.3">
      <c r="B95" s="648" t="s">
        <v>1375</v>
      </c>
      <c r="C95" s="600"/>
      <c r="D95" s="600"/>
      <c r="E95" s="600"/>
      <c r="F95" s="600"/>
      <c r="G95" s="649"/>
      <c r="H95" s="325"/>
      <c r="I95" s="325"/>
      <c r="J95" s="325"/>
    </row>
    <row r="96" spans="2:10" ht="7.2" customHeight="1" x14ac:dyDescent="0.3">
      <c r="B96" s="236"/>
      <c r="C96" s="108"/>
      <c r="D96" s="108"/>
      <c r="E96" s="108"/>
      <c r="F96" s="108"/>
      <c r="G96" s="237"/>
      <c r="H96" s="108"/>
      <c r="I96" s="108"/>
      <c r="J96" s="108"/>
    </row>
    <row r="97" spans="2:10" ht="18.600000000000001" customHeight="1" x14ac:dyDescent="0.3">
      <c r="B97" s="648" t="s">
        <v>1440</v>
      </c>
      <c r="C97" s="600"/>
      <c r="D97" s="600"/>
      <c r="E97" s="600"/>
      <c r="F97" s="600"/>
      <c r="G97" s="649"/>
      <c r="H97" s="325"/>
      <c r="I97" s="325"/>
      <c r="J97" s="325"/>
    </row>
    <row r="98" spans="2:10" ht="34.200000000000003" customHeight="1" x14ac:dyDescent="0.3">
      <c r="B98" s="648"/>
      <c r="C98" s="600"/>
      <c r="D98" s="600"/>
      <c r="E98" s="600"/>
      <c r="F98" s="600"/>
      <c r="G98" s="649"/>
      <c r="H98" s="325"/>
      <c r="I98" s="325"/>
      <c r="J98" s="325"/>
    </row>
    <row r="99" spans="2:10" ht="18.600000000000001" customHeight="1" x14ac:dyDescent="0.3">
      <c r="B99" s="648"/>
      <c r="C99" s="600"/>
      <c r="D99" s="600"/>
      <c r="E99" s="600"/>
      <c r="F99" s="600"/>
      <c r="G99" s="649"/>
      <c r="H99" s="325"/>
      <c r="I99" s="325"/>
      <c r="J99" s="325"/>
    </row>
    <row r="100" spans="2:10" ht="2.4" customHeight="1" x14ac:dyDescent="0.3">
      <c r="B100" s="513"/>
      <c r="C100" s="325"/>
      <c r="D100" s="325"/>
      <c r="E100" s="325"/>
      <c r="F100" s="325"/>
      <c r="G100" s="514"/>
      <c r="H100" s="325"/>
      <c r="I100" s="325"/>
      <c r="J100" s="325"/>
    </row>
    <row r="101" spans="2:10" ht="7.2" customHeight="1" x14ac:dyDescent="0.3">
      <c r="B101" s="236"/>
      <c r="C101" s="108"/>
      <c r="D101" s="108"/>
      <c r="E101" s="108"/>
      <c r="F101" s="108"/>
      <c r="G101" s="237"/>
      <c r="H101" s="108"/>
      <c r="I101" s="108"/>
      <c r="J101" s="108"/>
    </row>
    <row r="102" spans="2:10" ht="18.600000000000001" customHeight="1" x14ac:dyDescent="0.3">
      <c r="B102" s="648" t="s">
        <v>596</v>
      </c>
      <c r="C102" s="600"/>
      <c r="D102" s="600"/>
      <c r="E102" s="600"/>
      <c r="F102" s="600"/>
      <c r="G102" s="649"/>
      <c r="H102" s="325"/>
      <c r="I102" s="325"/>
      <c r="J102" s="325"/>
    </row>
    <row r="103" spans="2:10" ht="31.8" customHeight="1" x14ac:dyDescent="0.3">
      <c r="B103" s="648"/>
      <c r="C103" s="600"/>
      <c r="D103" s="600"/>
      <c r="E103" s="600"/>
      <c r="F103" s="600"/>
      <c r="G103" s="649"/>
      <c r="H103" s="325"/>
      <c r="I103" s="325"/>
      <c r="J103" s="325"/>
    </row>
    <row r="104" spans="2:10" ht="12" customHeight="1" x14ac:dyDescent="0.3">
      <c r="B104" s="648"/>
      <c r="C104" s="600"/>
      <c r="D104" s="600"/>
      <c r="E104" s="600"/>
      <c r="F104" s="600"/>
      <c r="G104" s="649"/>
      <c r="H104" s="325"/>
      <c r="I104" s="325"/>
      <c r="J104" s="325"/>
    </row>
    <row r="105" spans="2:10" ht="7.2" customHeight="1" x14ac:dyDescent="0.3">
      <c r="B105" s="236"/>
      <c r="C105" s="108"/>
      <c r="D105" s="108"/>
      <c r="E105" s="108"/>
      <c r="F105" s="108"/>
      <c r="G105" s="237"/>
      <c r="H105" s="108"/>
      <c r="I105" s="108"/>
      <c r="J105" s="108"/>
    </row>
    <row r="106" spans="2:10" ht="18.600000000000001" customHeight="1" x14ac:dyDescent="0.3">
      <c r="B106" s="648" t="s">
        <v>597</v>
      </c>
      <c r="C106" s="600"/>
      <c r="D106" s="600"/>
      <c r="E106" s="600"/>
      <c r="F106" s="600"/>
      <c r="G106" s="649"/>
      <c r="H106" s="325"/>
      <c r="I106" s="325"/>
      <c r="J106" s="325"/>
    </row>
    <row r="107" spans="2:10" ht="25.2" customHeight="1" x14ac:dyDescent="0.3">
      <c r="B107" s="648"/>
      <c r="C107" s="600"/>
      <c r="D107" s="600"/>
      <c r="E107" s="600"/>
      <c r="F107" s="600"/>
      <c r="G107" s="649"/>
      <c r="H107" s="325"/>
      <c r="I107" s="325"/>
      <c r="J107" s="325"/>
    </row>
    <row r="108" spans="2:10" ht="13.8" customHeight="1" x14ac:dyDescent="0.3">
      <c r="B108" s="658"/>
      <c r="C108" s="659"/>
      <c r="D108" s="659"/>
      <c r="E108" s="659"/>
      <c r="F108" s="659"/>
      <c r="G108" s="660"/>
      <c r="H108" s="325"/>
      <c r="I108" s="325"/>
      <c r="J108" s="325"/>
    </row>
    <row r="109" spans="2:10" ht="9" customHeight="1" x14ac:dyDescent="0.3"/>
    <row r="110" spans="2:10" ht="45.6" customHeight="1" x14ac:dyDescent="0.3">
      <c r="B110" s="661" t="s">
        <v>1278</v>
      </c>
      <c r="C110" s="662"/>
      <c r="D110" s="662"/>
      <c r="E110" s="662"/>
      <c r="F110" s="662"/>
      <c r="G110" s="663"/>
    </row>
    <row r="111" spans="2:10" x14ac:dyDescent="0.3">
      <c r="B111" s="384"/>
    </row>
    <row r="112" spans="2:10" ht="18" thickBot="1" x14ac:dyDescent="0.4">
      <c r="B112" s="496" t="s">
        <v>1489</v>
      </c>
      <c r="C112" s="496"/>
      <c r="D112" s="496"/>
      <c r="E112" s="496"/>
      <c r="F112" s="496"/>
    </row>
    <row r="113" spans="2:20" ht="15.6" thickTop="1" thickBot="1" x14ac:dyDescent="0.35"/>
    <row r="114" spans="2:20" ht="15" thickBot="1" x14ac:dyDescent="0.35">
      <c r="B114" t="s">
        <v>1216</v>
      </c>
      <c r="E114" s="469" t="s">
        <v>12</v>
      </c>
    </row>
    <row r="115" spans="2:20" ht="11.4" customHeight="1" x14ac:dyDescent="0.3">
      <c r="T115" s="84"/>
    </row>
    <row r="116" spans="2:20" ht="44.4" x14ac:dyDescent="0.3">
      <c r="C116" s="195" t="s">
        <v>334</v>
      </c>
      <c r="D116" s="195" t="s">
        <v>335</v>
      </c>
      <c r="E116" s="195" t="s">
        <v>532</v>
      </c>
      <c r="F116" s="196" t="s">
        <v>533</v>
      </c>
      <c r="T116" s="84"/>
    </row>
    <row r="117" spans="2:20" x14ac:dyDescent="0.3">
      <c r="B117" s="201" t="s">
        <v>331</v>
      </c>
      <c r="C117" s="295" t="str">
        <f>D187</f>
        <v>Hamburger</v>
      </c>
      <c r="D117" s="287">
        <v>99</v>
      </c>
      <c r="E117" s="378">
        <f>$H$197</f>
        <v>1822.6</v>
      </c>
      <c r="F117" s="377">
        <f>D117*E117/1000</f>
        <v>180.4374</v>
      </c>
      <c r="G117" t="str">
        <f>IF(U196=0,"🌱 vegan",IF(U196=1,"Ⓥ vegetarisch",IF(U196=10,"🥩 mit Fleisch/Fisch","")))</f>
        <v>🥩 mit Fleisch/Fisch</v>
      </c>
      <c r="T117" s="84"/>
    </row>
    <row r="118" spans="2:20" x14ac:dyDescent="0.3">
      <c r="B118" s="201" t="s">
        <v>332</v>
      </c>
      <c r="C118" s="295" t="str">
        <f>D200</f>
        <v>Menü 2 Pfannenkuchen</v>
      </c>
      <c r="D118" s="287">
        <v>99</v>
      </c>
      <c r="E118" s="378">
        <f>$H$210</f>
        <v>430</v>
      </c>
      <c r="F118" s="377">
        <f t="shared" ref="F118:F120" si="1">D118*E118/1000</f>
        <v>42.57</v>
      </c>
      <c r="G118" t="str">
        <f>IF(U209=0,"🌱 vegan",IF(U209=1,"Ⓥ vegetarisch",IF(U209=10,"🥩 mit Fleisch/Fisch","")))</f>
        <v>Ⓥ vegetarisch</v>
      </c>
      <c r="T118" s="84"/>
    </row>
    <row r="119" spans="2:20" x14ac:dyDescent="0.3">
      <c r="B119" s="201" t="s">
        <v>333</v>
      </c>
      <c r="C119" s="295" t="str">
        <f>D213</f>
        <v>Chili sin Carne</v>
      </c>
      <c r="D119" s="287">
        <v>99</v>
      </c>
      <c r="E119" s="378">
        <f>$H$223</f>
        <v>779.5</v>
      </c>
      <c r="F119" s="377">
        <f t="shared" si="1"/>
        <v>77.170500000000004</v>
      </c>
      <c r="G119" t="str">
        <f>IF(U222=0,"🌱 vegan",IF(U222=1,"Ⓥ vegetarisch",IF(U222=10,"🥩 mit Fleisch/Fisch","")))</f>
        <v>Ⓥ vegetarisch</v>
      </c>
      <c r="T119" s="84"/>
    </row>
    <row r="120" spans="2:20" x14ac:dyDescent="0.3">
      <c r="B120" s="201" t="s">
        <v>400</v>
      </c>
      <c r="C120" s="295" t="str">
        <f>D226</f>
        <v>Menü 4</v>
      </c>
      <c r="D120" s="287"/>
      <c r="E120" s="378">
        <f>$H$236</f>
        <v>0</v>
      </c>
      <c r="F120" s="377">
        <f t="shared" si="1"/>
        <v>0</v>
      </c>
      <c r="G120" t="str">
        <f>IF(U235=0,"🌱 vegan",IF(U235=1,"Ⓥ vegetarisch",IF(U235=10,"🥩 mit Fleisch/Fisch","")))</f>
        <v/>
      </c>
      <c r="T120" s="84"/>
    </row>
    <row r="121" spans="2:20" x14ac:dyDescent="0.3">
      <c r="B121" s="201" t="s">
        <v>450</v>
      </c>
      <c r="C121" s="295" t="str">
        <f>D239</f>
        <v>Menü 5</v>
      </c>
      <c r="D121" s="287"/>
      <c r="E121" s="378">
        <f>$H$249</f>
        <v>0</v>
      </c>
      <c r="F121" s="377">
        <f>D121*E121/1000</f>
        <v>0</v>
      </c>
      <c r="G121" t="str">
        <f>IF(U248=0,"🌱 vegan",IF(U248=1,"Ⓥ vegetarisch",IF(U248=10,"🥩 mit Fleisch/Fisch","")))</f>
        <v/>
      </c>
      <c r="T121" s="84"/>
    </row>
    <row r="122" spans="2:20" x14ac:dyDescent="0.3">
      <c r="B122" s="201" t="s">
        <v>1005</v>
      </c>
      <c r="C122" s="295" t="str">
        <f>D252</f>
        <v>Menü 6</v>
      </c>
      <c r="D122" s="287"/>
      <c r="E122" s="378">
        <f>$H$262</f>
        <v>0</v>
      </c>
      <c r="F122" s="377">
        <f t="shared" ref="F122:F136" si="2">D122*E122/1000</f>
        <v>0</v>
      </c>
      <c r="G122" t="str">
        <f>IF(U261=0,"🌱 vegan",IF(U261=1,"Ⓥ vegetarisch",IF(U261=10,"🥩 mit Fleisch/Fisch","")))</f>
        <v/>
      </c>
      <c r="T122" s="84"/>
    </row>
    <row r="123" spans="2:20" x14ac:dyDescent="0.3">
      <c r="B123" s="201" t="s">
        <v>1006</v>
      </c>
      <c r="C123" s="295" t="str">
        <f>D265</f>
        <v>Menü 7</v>
      </c>
      <c r="D123" s="287"/>
      <c r="E123" s="378">
        <f>$H$275</f>
        <v>0</v>
      </c>
      <c r="F123" s="377">
        <f t="shared" si="2"/>
        <v>0</v>
      </c>
      <c r="G123" t="str">
        <f>IF(U274=0,"🌱 vegan",IF(U274=1,"Ⓥ vegetarisch",IF(U274=10,"🥩 mit Fleisch/Fisch","")))</f>
        <v/>
      </c>
      <c r="T123" s="84"/>
    </row>
    <row r="124" spans="2:20" x14ac:dyDescent="0.3">
      <c r="B124" s="201" t="s">
        <v>1007</v>
      </c>
      <c r="C124" s="295" t="str">
        <f>D278</f>
        <v>Menü 8</v>
      </c>
      <c r="D124" s="287"/>
      <c r="E124" s="378">
        <f>$H$288</f>
        <v>0</v>
      </c>
      <c r="F124" s="377">
        <f t="shared" si="2"/>
        <v>0</v>
      </c>
      <c r="G124" t="str">
        <f>IF(U287=0,"🌱 vegan",IF(U287=1,"Ⓥ vegetarisch",IF(U287=10,"🥩 mit Fleisch/Fisch","")))</f>
        <v/>
      </c>
      <c r="T124" s="84"/>
    </row>
    <row r="125" spans="2:20" x14ac:dyDescent="0.3">
      <c r="B125" s="201" t="s">
        <v>1008</v>
      </c>
      <c r="C125" s="295" t="str">
        <f>D291</f>
        <v>Menü 9</v>
      </c>
      <c r="D125" s="287"/>
      <c r="E125" s="378">
        <f>$H$301</f>
        <v>0</v>
      </c>
      <c r="F125" s="377">
        <f t="shared" si="2"/>
        <v>0</v>
      </c>
      <c r="G125" t="str">
        <f>IF(U300=0,"🌱 vegan",IF(U300=1,"Ⓥ vegetarisch",IF(U300=10,"🥩 mit Fleisch/Fisch","")))</f>
        <v/>
      </c>
      <c r="T125" s="84"/>
    </row>
    <row r="126" spans="2:20" x14ac:dyDescent="0.3">
      <c r="B126" s="201" t="s">
        <v>1009</v>
      </c>
      <c r="C126" s="295" t="str">
        <f>D304</f>
        <v>Menü 10</v>
      </c>
      <c r="D126" s="287"/>
      <c r="E126" s="378">
        <f>$H$314</f>
        <v>0</v>
      </c>
      <c r="F126" s="377">
        <f t="shared" si="2"/>
        <v>0</v>
      </c>
      <c r="G126" t="str">
        <f>IF(U313=0,"🌱 vegan",IF(U313=1,"Ⓥ vegetarisch",IF(U313=10,"🥩 mit Fleisch/Fisch","")))</f>
        <v/>
      </c>
      <c r="T126" s="84"/>
    </row>
    <row r="127" spans="2:20" x14ac:dyDescent="0.3">
      <c r="B127" s="201" t="s">
        <v>1010</v>
      </c>
      <c r="C127" s="295" t="str">
        <f>D317</f>
        <v>Menü 11</v>
      </c>
      <c r="D127" s="287"/>
      <c r="E127" s="378">
        <f>$H$327</f>
        <v>0</v>
      </c>
      <c r="F127" s="377">
        <f t="shared" si="2"/>
        <v>0</v>
      </c>
      <c r="G127" t="str">
        <f>IF(U326=0,"🌱 vegan",IF(U326=1,"Ⓥ vegetarisch",IF(U326=10,"🥩 mit Fleisch/Fisch","")))</f>
        <v/>
      </c>
      <c r="T127" s="84"/>
    </row>
    <row r="128" spans="2:20" x14ac:dyDescent="0.3">
      <c r="B128" s="201" t="s">
        <v>1011</v>
      </c>
      <c r="C128" s="295" t="str">
        <f>D330</f>
        <v>Menü 12</v>
      </c>
      <c r="D128" s="287"/>
      <c r="E128" s="378">
        <f>$H$340</f>
        <v>0</v>
      </c>
      <c r="F128" s="377">
        <f t="shared" si="2"/>
        <v>0</v>
      </c>
      <c r="G128" t="str">
        <f>IF(U339=0,"🌱 vegan",IF(U339=1,"Ⓥ vegetarisch",IF(U339=10,"🥩 mit Fleisch/Fisch","")))</f>
        <v/>
      </c>
      <c r="T128" s="84"/>
    </row>
    <row r="129" spans="2:20" x14ac:dyDescent="0.3">
      <c r="B129" s="201" t="s">
        <v>1012</v>
      </c>
      <c r="C129" s="295" t="str">
        <f>D343</f>
        <v>Menü 13</v>
      </c>
      <c r="D129" s="287"/>
      <c r="E129" s="378">
        <f>$H$353</f>
        <v>0</v>
      </c>
      <c r="F129" s="377">
        <f t="shared" si="2"/>
        <v>0</v>
      </c>
      <c r="G129" t="str">
        <f>IF(U352=0,"🌱 vegan",IF(U352=1,"Ⓥ vegetarisch",IF(U352=10,"🥩 mit Fleisch/Fisch","")))</f>
        <v/>
      </c>
      <c r="T129" s="84"/>
    </row>
    <row r="130" spans="2:20" x14ac:dyDescent="0.3">
      <c r="B130" s="201" t="s">
        <v>1013</v>
      </c>
      <c r="C130" s="295" t="str">
        <f>D356</f>
        <v>Menü 14</v>
      </c>
      <c r="D130" s="287"/>
      <c r="E130" s="378">
        <f>$H$366</f>
        <v>0</v>
      </c>
      <c r="F130" s="377">
        <f t="shared" si="2"/>
        <v>0</v>
      </c>
      <c r="G130" t="str">
        <f>IF(U365=0,"🌱 vegan",IF(U365=1,"Ⓥ vegetarisch",IF(U365=10,"🥩 mit Fleisch/Fisch","")))</f>
        <v/>
      </c>
      <c r="T130" s="84"/>
    </row>
    <row r="131" spans="2:20" x14ac:dyDescent="0.3">
      <c r="B131" s="201" t="s">
        <v>1014</v>
      </c>
      <c r="C131" s="295" t="str">
        <f>D369</f>
        <v>Menü 15</v>
      </c>
      <c r="D131" s="287"/>
      <c r="E131" s="378">
        <f>$H$379</f>
        <v>0</v>
      </c>
      <c r="F131" s="377">
        <f t="shared" si="2"/>
        <v>0</v>
      </c>
      <c r="G131" t="str">
        <f>IF(U378=0,"🌱 vegan",IF(U378=1,"Ⓥ vegetarisch",IF(U378=10,"🥩 mit Fleisch/Fisch","")))</f>
        <v/>
      </c>
      <c r="T131" s="84"/>
    </row>
    <row r="132" spans="2:20" x14ac:dyDescent="0.3">
      <c r="B132" s="201" t="s">
        <v>1015</v>
      </c>
      <c r="C132" s="295" t="str">
        <f>D382</f>
        <v>Menü 16</v>
      </c>
      <c r="D132" s="287"/>
      <c r="E132" s="378">
        <f>$H$392</f>
        <v>0</v>
      </c>
      <c r="F132" s="377">
        <f t="shared" si="2"/>
        <v>0</v>
      </c>
      <c r="G132" t="str">
        <f>IF(U391=0,"🌱 vegan",IF(U391=1,"Ⓥ vegetarisch",IF(U391=10,"🥩 mit Fleisch/Fisch","")))</f>
        <v/>
      </c>
      <c r="T132" s="84"/>
    </row>
    <row r="133" spans="2:20" x14ac:dyDescent="0.3">
      <c r="B133" s="201" t="s">
        <v>1024</v>
      </c>
      <c r="C133" s="295" t="str">
        <f>D395</f>
        <v>Menü 17</v>
      </c>
      <c r="D133" s="287"/>
      <c r="E133" s="378">
        <f>$H$405</f>
        <v>0</v>
      </c>
      <c r="F133" s="377">
        <f t="shared" si="2"/>
        <v>0</v>
      </c>
      <c r="G133" t="str">
        <f>IF(U404=0,"🌱 vegan",IF(U404=1,"Ⓥ vegetarisch",IF(U404=10,"🥩 mit Fleisch/Fisch","")))</f>
        <v/>
      </c>
      <c r="T133" s="84"/>
    </row>
    <row r="134" spans="2:20" x14ac:dyDescent="0.3">
      <c r="B134" s="201" t="s">
        <v>1025</v>
      </c>
      <c r="C134" s="295" t="str">
        <f>D408</f>
        <v>Menü 18</v>
      </c>
      <c r="D134" s="287"/>
      <c r="E134" s="378">
        <f>$H$418</f>
        <v>0</v>
      </c>
      <c r="F134" s="377">
        <f t="shared" si="2"/>
        <v>0</v>
      </c>
      <c r="G134" t="str">
        <f>IF(U417=0,"🌱 vegan",IF(U417=1,"Ⓥ vegetarisch",IF(U417=10,"🥩 mit Fleisch/Fisch","")))</f>
        <v/>
      </c>
      <c r="T134" s="84"/>
    </row>
    <row r="135" spans="2:20" x14ac:dyDescent="0.3">
      <c r="B135" s="201" t="s">
        <v>1026</v>
      </c>
      <c r="C135" s="295" t="str">
        <f>D421</f>
        <v>Menü 19</v>
      </c>
      <c r="D135" s="287"/>
      <c r="E135" s="378">
        <f>$H$431</f>
        <v>0</v>
      </c>
      <c r="F135" s="377">
        <f t="shared" si="2"/>
        <v>0</v>
      </c>
      <c r="G135" t="str">
        <f>IF(U430=0,"🌱 vegan",IF(U430=1,"Ⓥ vegetarisch",IF(U430=10,"🥩 mit Fleisch/Fisch","")))</f>
        <v/>
      </c>
      <c r="T135" s="84"/>
    </row>
    <row r="136" spans="2:20" x14ac:dyDescent="0.3">
      <c r="B136" s="201" t="s">
        <v>1027</v>
      </c>
      <c r="C136" s="295" t="str">
        <f>D434</f>
        <v>Menü 20</v>
      </c>
      <c r="D136" s="287"/>
      <c r="E136" s="378">
        <f>$H$444</f>
        <v>0</v>
      </c>
      <c r="F136" s="377">
        <f t="shared" si="2"/>
        <v>0</v>
      </c>
      <c r="G136" t="str">
        <f>IF(U443=0,"🌱 vegan",IF(U443=1,"Ⓥ vegetarisch",IF(U443=10,"🥩 mit Fleisch/Fisch","")))</f>
        <v/>
      </c>
      <c r="T136" s="84"/>
    </row>
    <row r="137" spans="2:20" x14ac:dyDescent="0.3">
      <c r="C137" s="286" t="s">
        <v>57</v>
      </c>
      <c r="D137" s="387">
        <f>SUMIF(E117:E136,"&lt;&gt;0",D117:D136)</f>
        <v>297</v>
      </c>
      <c r="E137" t="s">
        <v>57</v>
      </c>
      <c r="F137" s="289">
        <f>SUMIF(E117:E136,"&lt;&gt;0",F117:F136)</f>
        <v>300.17790000000002</v>
      </c>
      <c r="T137" s="84"/>
    </row>
    <row r="138" spans="2:20" x14ac:dyDescent="0.3">
      <c r="D138" s="65"/>
      <c r="E138" s="86" t="s">
        <v>339</v>
      </c>
      <c r="F138" s="290">
        <f>ROUND(F137/D137,2)</f>
        <v>1.01</v>
      </c>
      <c r="T138" s="84"/>
    </row>
    <row r="139" spans="2:20" x14ac:dyDescent="0.3">
      <c r="T139" s="84"/>
    </row>
    <row r="140" spans="2:20" ht="18" thickBot="1" x14ac:dyDescent="0.4">
      <c r="B140" s="496" t="s">
        <v>1490</v>
      </c>
      <c r="C140" s="496"/>
      <c r="D140" s="496"/>
      <c r="E140" s="496"/>
      <c r="F140" s="496"/>
      <c r="T140" s="84"/>
    </row>
    <row r="141" spans="2:20" ht="15" thickTop="1" x14ac:dyDescent="0.3">
      <c r="T141" s="84"/>
    </row>
    <row r="142" spans="2:20" x14ac:dyDescent="0.3">
      <c r="B142" t="s">
        <v>959</v>
      </c>
      <c r="E142" s="291">
        <v>180</v>
      </c>
      <c r="T142" s="84"/>
    </row>
    <row r="143" spans="2:20" x14ac:dyDescent="0.3">
      <c r="B143" t="s">
        <v>1031</v>
      </c>
      <c r="E143" s="291"/>
      <c r="T143" s="84"/>
    </row>
    <row r="144" spans="2:20" x14ac:dyDescent="0.3">
      <c r="B144" s="388" t="str">
        <f>"Es wird mit  "&amp;IF(E143&lt;&gt;"",E143,D137)&amp;" verkauften Portionen pro Tag gerechnet. Dies entspricht "&amp;TEXT(IF(E143&lt;&gt;"",E143,D137)/AnzahlSchueler,"0 %")&amp;" Prozent der Schüler:innen."</f>
        <v>Es wird mit  297 verkauften Portionen pro Tag gerechnet. Dies entspricht 30 % Prozent der Schüler:innen.</v>
      </c>
      <c r="T144" s="84"/>
    </row>
    <row r="145" spans="2:20" x14ac:dyDescent="0.3">
      <c r="T145" s="84"/>
    </row>
    <row r="146" spans="2:20" x14ac:dyDescent="0.3">
      <c r="B146" s="8" t="s">
        <v>529</v>
      </c>
      <c r="D146" s="15" t="str">
        <f>TEXT(E142,0)&amp;"*"&amp;TEXT(IF(E143&lt;&gt;"",E143,D137),0)&amp;"*"&amp;TEXT(F138,"0,00")&amp;" kg CO₂="</f>
        <v>180*297*1,01 kg CO₂=</v>
      </c>
      <c r="E146" s="292">
        <f>E142*IF(E143&lt;&gt;"",E143,D137)*F138</f>
        <v>53994.6</v>
      </c>
      <c r="T146" s="84"/>
    </row>
    <row r="147" spans="2:20" ht="16.8" customHeight="1" x14ac:dyDescent="0.3">
      <c r="B147" s="379" t="str">
        <f>IF(VerbrauchsanteilSchuleErnaehrung&lt;&gt;100%,"Hinweis: Zur Berechnung der CO2-Bilanz werden nur "&amp;TEXT(VerbrauchsanteilSchuleErnaehrung,"0 %")&amp;" der hier angegebenen Emissionen verwendet.","")</f>
        <v>Hinweis: Zur Berechnung der CO2-Bilanz werden nur 50 % der hier angegebenen Emissionen verwendet.</v>
      </c>
      <c r="F147" s="78"/>
      <c r="T147" s="84"/>
    </row>
    <row r="148" spans="2:20" ht="18" customHeight="1" x14ac:dyDescent="0.3">
      <c r="B148" s="379" t="str">
        <f>IF(VerbrauchsanteilSchuleErnaehrung&lt;&gt;100%,"Dies entspricht "&amp;TEXT($E$146*VerbrauchsanteilSchuleErnaehrung,"#.##0")&amp;" kg CO2. Der Anteil der Schule kann im Tabellenblatt Einstellungen geändert werden.","")</f>
        <v>Dies entspricht 26.997 kg CO2. Der Anteil der Schule kann im Tabellenblatt Einstellungen geändert werden.</v>
      </c>
      <c r="T148" s="84"/>
    </row>
    <row r="149" spans="2:20" ht="18" customHeight="1" x14ac:dyDescent="0.3">
      <c r="B149" s="436" t="str">
        <f>IF($D$29="vereinfachte Abschätzung","Es wurde eine vereinfachte Abschätzung der CO₂-Emissionen gewählt (ganz unten auf diesem Tabellenblatt).","")</f>
        <v>Es wurde eine vereinfachte Abschätzung der CO₂-Emissionen gewählt (ganz unten auf diesem Tabellenblatt).</v>
      </c>
      <c r="T149" s="84"/>
    </row>
    <row r="150" spans="2:20" ht="18" customHeight="1" x14ac:dyDescent="0.3">
      <c r="B150" s="435" t="str">
        <f>IF($D$29="vereinfachte Abschätzung","Die für die CO2-Bilanz der Schule ermittelten Emissionen der Kantine betragen: "&amp;TEXT($G$44,"#.##0")&amp;" kg CO₂","")</f>
        <v>Die für die CO2-Bilanz der Schule ermittelten Emissionen der Kantine betragen: 38.850 kg CO₂</v>
      </c>
      <c r="T150" s="84"/>
    </row>
    <row r="151" spans="2:20" ht="18" customHeight="1" x14ac:dyDescent="0.3">
      <c r="B151" s="384"/>
      <c r="T151" s="84"/>
    </row>
    <row r="152" spans="2:20" ht="18" customHeight="1" thickBot="1" x14ac:dyDescent="0.4">
      <c r="B152" s="496" t="s">
        <v>1491</v>
      </c>
      <c r="C152" s="496"/>
      <c r="D152" s="496"/>
      <c r="E152" s="496"/>
      <c r="F152" s="496"/>
      <c r="T152" s="84"/>
    </row>
    <row r="153" spans="2:20" ht="18" customHeight="1" thickTop="1" x14ac:dyDescent="0.3">
      <c r="B153" s="384"/>
      <c r="T153" s="84"/>
    </row>
    <row r="154" spans="2:20" ht="46.8" customHeight="1" x14ac:dyDescent="0.3">
      <c r="B154" s="493" t="s">
        <v>917</v>
      </c>
      <c r="C154" s="494"/>
      <c r="D154" s="195" t="s">
        <v>335</v>
      </c>
      <c r="E154" s="195" t="s">
        <v>1213</v>
      </c>
      <c r="F154" s="195" t="s">
        <v>1214</v>
      </c>
      <c r="T154" s="84"/>
    </row>
    <row r="155" spans="2:20" ht="18" customHeight="1" x14ac:dyDescent="0.3">
      <c r="B155" s="395" t="s">
        <v>1200</v>
      </c>
      <c r="C155" s="183"/>
      <c r="D155" s="31">
        <f>SUMIFS($D$117:$D$136,$G$117:$G$136,B155)</f>
        <v>99</v>
      </c>
      <c r="E155" s="492">
        <f>SUMIFS($F$117:$F$136,$G$117:$G$136,B155)</f>
        <v>180.4374</v>
      </c>
      <c r="F155" s="492">
        <f>IF(D155=0,0,E155/D155)</f>
        <v>1.8226</v>
      </c>
      <c r="T155" s="84"/>
    </row>
    <row r="156" spans="2:20" ht="18" customHeight="1" x14ac:dyDescent="0.3">
      <c r="B156" s="395" t="s">
        <v>1201</v>
      </c>
      <c r="C156" s="183"/>
      <c r="D156" s="31">
        <f t="shared" ref="D156:D157" si="3">SUMIFS($D$117:$D$136,$G$117:$G$136,B156)</f>
        <v>198</v>
      </c>
      <c r="E156" s="492">
        <f t="shared" ref="E156:E157" si="4">SUMIFS($F$117:$F$136,$G$117:$G$136,B156)</f>
        <v>119.7405</v>
      </c>
      <c r="F156" s="492">
        <f>IF(D156=0,0,E156/D156)</f>
        <v>0.60475000000000001</v>
      </c>
      <c r="T156" s="84"/>
    </row>
    <row r="157" spans="2:20" ht="18" customHeight="1" x14ac:dyDescent="0.3">
      <c r="B157" s="395" t="s">
        <v>1202</v>
      </c>
      <c r="C157" s="183"/>
      <c r="D157" s="31">
        <f t="shared" si="3"/>
        <v>0</v>
      </c>
      <c r="E157" s="492">
        <f t="shared" si="4"/>
        <v>0</v>
      </c>
      <c r="F157" s="492">
        <f>IF(D157=0,0,E157/D157)</f>
        <v>0</v>
      </c>
      <c r="T157" s="84"/>
    </row>
    <row r="158" spans="2:20" ht="18" customHeight="1" x14ac:dyDescent="0.3">
      <c r="B158" s="395" t="s">
        <v>1215</v>
      </c>
      <c r="C158" s="183"/>
      <c r="D158" s="88">
        <f>SUM(D117:D136)</f>
        <v>297</v>
      </c>
      <c r="E158" s="492">
        <f>SUM($F$117:$F$136)</f>
        <v>300.17790000000002</v>
      </c>
      <c r="F158" s="492">
        <f>IF(D158=0,0,E158/D158)</f>
        <v>1.0107000000000002</v>
      </c>
      <c r="T158" s="84"/>
    </row>
    <row r="159" spans="2:20" ht="18" customHeight="1" x14ac:dyDescent="0.3">
      <c r="B159" s="384"/>
      <c r="T159" s="84"/>
    </row>
    <row r="160" spans="2:20" ht="18" customHeight="1" thickBot="1" x14ac:dyDescent="0.4">
      <c r="B160" s="496" t="s">
        <v>1492</v>
      </c>
      <c r="C160" s="496"/>
      <c r="D160" s="496"/>
      <c r="E160" s="496"/>
      <c r="F160" s="496"/>
      <c r="T160" s="84"/>
    </row>
    <row r="161" spans="2:20" ht="18" customHeight="1" thickTop="1" x14ac:dyDescent="0.3">
      <c r="B161" s="384"/>
      <c r="T161" s="84"/>
    </row>
    <row r="162" spans="2:20" ht="37.5" customHeight="1" x14ac:dyDescent="0.3">
      <c r="B162" s="561" t="s">
        <v>1316</v>
      </c>
      <c r="C162" s="561"/>
      <c r="D162" s="561"/>
      <c r="E162" s="561"/>
      <c r="F162" s="561"/>
      <c r="T162" s="84"/>
    </row>
    <row r="163" spans="2:20" ht="18" customHeight="1" thickBot="1" x14ac:dyDescent="0.35">
      <c r="B163" s="384"/>
      <c r="T163" s="84"/>
    </row>
    <row r="164" spans="2:20" ht="18" customHeight="1" thickTop="1" thickBot="1" x14ac:dyDescent="0.35">
      <c r="B164" t="s">
        <v>346</v>
      </c>
      <c r="C164" s="252" t="s">
        <v>350</v>
      </c>
      <c r="T164" s="84"/>
    </row>
    <row r="165" spans="2:20" ht="18" customHeight="1" thickTop="1" x14ac:dyDescent="0.3">
      <c r="T165" s="84"/>
    </row>
    <row r="166" spans="2:20" ht="44.4" customHeight="1" thickBot="1" x14ac:dyDescent="0.35">
      <c r="C166" s="540" t="s">
        <v>1357</v>
      </c>
      <c r="D166" s="540" t="s">
        <v>1358</v>
      </c>
      <c r="E166" s="540" t="s">
        <v>1359</v>
      </c>
      <c r="F166" s="540" t="s">
        <v>1373</v>
      </c>
      <c r="T166" s="84"/>
    </row>
    <row r="167" spans="2:20" ht="18" customHeight="1" thickTop="1" thickBot="1" x14ac:dyDescent="0.35">
      <c r="B167" t="s">
        <v>1317</v>
      </c>
      <c r="C167" s="252" t="s">
        <v>1336</v>
      </c>
      <c r="D167" s="537">
        <f t="shared" ref="D167:D176" si="5">VLOOKUP(C167,$C$511:$D$535,2,FALSE)</f>
        <v>260</v>
      </c>
      <c r="E167" s="401">
        <v>99</v>
      </c>
      <c r="F167" s="377">
        <f>D167*E167/1000</f>
        <v>25.74</v>
      </c>
      <c r="T167" s="84"/>
    </row>
    <row r="168" spans="2:20" ht="18" customHeight="1" thickTop="1" thickBot="1" x14ac:dyDescent="0.35">
      <c r="B168" t="s">
        <v>1360</v>
      </c>
      <c r="C168" s="252" t="s">
        <v>1337</v>
      </c>
      <c r="D168" s="537">
        <f t="shared" si="5"/>
        <v>200</v>
      </c>
      <c r="E168" s="401">
        <v>99</v>
      </c>
      <c r="F168" s="377">
        <f t="shared" ref="F168:F176" si="6">D168*E168/1000</f>
        <v>19.8</v>
      </c>
      <c r="T168" s="84"/>
    </row>
    <row r="169" spans="2:20" ht="18" customHeight="1" thickTop="1" thickBot="1" x14ac:dyDescent="0.35">
      <c r="B169" t="s">
        <v>1361</v>
      </c>
      <c r="C169" s="252" t="s">
        <v>27</v>
      </c>
      <c r="D169" s="537">
        <f t="shared" si="5"/>
        <v>0</v>
      </c>
      <c r="E169" s="401"/>
      <c r="F169" s="377">
        <f t="shared" si="6"/>
        <v>0</v>
      </c>
      <c r="T169" s="84"/>
    </row>
    <row r="170" spans="2:20" ht="18" customHeight="1" thickTop="1" thickBot="1" x14ac:dyDescent="0.35">
      <c r="B170" t="s">
        <v>1362</v>
      </c>
      <c r="C170" s="252" t="s">
        <v>27</v>
      </c>
      <c r="D170" s="537">
        <f t="shared" si="5"/>
        <v>0</v>
      </c>
      <c r="E170" s="401"/>
      <c r="F170" s="377">
        <f t="shared" si="6"/>
        <v>0</v>
      </c>
      <c r="T170" s="84"/>
    </row>
    <row r="171" spans="2:20" ht="18" customHeight="1" thickTop="1" thickBot="1" x14ac:dyDescent="0.35">
      <c r="B171" t="s">
        <v>1363</v>
      </c>
      <c r="C171" s="252" t="s">
        <v>27</v>
      </c>
      <c r="D171" s="537">
        <f t="shared" si="5"/>
        <v>0</v>
      </c>
      <c r="E171" s="401"/>
      <c r="F171" s="377">
        <f t="shared" si="6"/>
        <v>0</v>
      </c>
      <c r="T171" s="84"/>
    </row>
    <row r="172" spans="2:20" ht="18" customHeight="1" thickTop="1" thickBot="1" x14ac:dyDescent="0.35">
      <c r="B172" t="s">
        <v>1364</v>
      </c>
      <c r="C172" s="252" t="s">
        <v>27</v>
      </c>
      <c r="D172" s="537">
        <f t="shared" si="5"/>
        <v>0</v>
      </c>
      <c r="E172" s="401"/>
      <c r="F172" s="377">
        <f t="shared" si="6"/>
        <v>0</v>
      </c>
      <c r="T172" s="84"/>
    </row>
    <row r="173" spans="2:20" ht="18" customHeight="1" thickTop="1" thickBot="1" x14ac:dyDescent="0.35">
      <c r="B173" t="s">
        <v>1365</v>
      </c>
      <c r="C173" s="252" t="s">
        <v>27</v>
      </c>
      <c r="D173" s="537">
        <f t="shared" si="5"/>
        <v>0</v>
      </c>
      <c r="E173" s="401"/>
      <c r="F173" s="377">
        <f t="shared" si="6"/>
        <v>0</v>
      </c>
      <c r="T173" s="84"/>
    </row>
    <row r="174" spans="2:20" ht="18" customHeight="1" thickTop="1" thickBot="1" x14ac:dyDescent="0.35">
      <c r="B174" t="s">
        <v>1366</v>
      </c>
      <c r="C174" s="252" t="s">
        <v>27</v>
      </c>
      <c r="D174" s="537">
        <f t="shared" si="5"/>
        <v>0</v>
      </c>
      <c r="E174" s="401"/>
      <c r="F174" s="377">
        <f t="shared" si="6"/>
        <v>0</v>
      </c>
      <c r="T174" s="84"/>
    </row>
    <row r="175" spans="2:20" ht="18" customHeight="1" thickTop="1" thickBot="1" x14ac:dyDescent="0.35">
      <c r="B175" t="s">
        <v>1367</v>
      </c>
      <c r="C175" s="252" t="s">
        <v>27</v>
      </c>
      <c r="D175" s="537">
        <f t="shared" si="5"/>
        <v>0</v>
      </c>
      <c r="E175" s="401"/>
      <c r="F175" s="377">
        <f t="shared" si="6"/>
        <v>0</v>
      </c>
      <c r="T175" s="84"/>
    </row>
    <row r="176" spans="2:20" ht="18" customHeight="1" thickTop="1" thickBot="1" x14ac:dyDescent="0.35">
      <c r="B176" t="s">
        <v>1368</v>
      </c>
      <c r="C176" s="252" t="s">
        <v>27</v>
      </c>
      <c r="D176" s="537">
        <f t="shared" si="5"/>
        <v>0</v>
      </c>
      <c r="E176" s="401"/>
      <c r="F176" s="377">
        <f t="shared" si="6"/>
        <v>0</v>
      </c>
      <c r="T176" s="84"/>
    </row>
    <row r="177" spans="1:52" ht="18" customHeight="1" thickTop="1" x14ac:dyDescent="0.3">
      <c r="F177" s="539">
        <f>SUM(F167:F176)</f>
        <v>45.54</v>
      </c>
      <c r="T177" s="84"/>
    </row>
    <row r="178" spans="1:52" ht="18" customHeight="1" x14ac:dyDescent="0.3">
      <c r="E178" s="15" t="s">
        <v>1370</v>
      </c>
      <c r="F178" s="538">
        <f>IF(C164="Zeitraum wählen",1,VLOOKUP(C164,Lookup!$Y$89:$Z$92,2,FALSE))</f>
        <v>37</v>
      </c>
      <c r="T178" s="84"/>
    </row>
    <row r="179" spans="1:52" ht="18" customHeight="1" x14ac:dyDescent="0.3">
      <c r="E179" s="8" t="s">
        <v>1371</v>
      </c>
      <c r="F179" s="541">
        <f>F177*F178</f>
        <v>1684.98</v>
      </c>
      <c r="T179" s="84"/>
    </row>
    <row r="180" spans="1:52" ht="18" customHeight="1" x14ac:dyDescent="0.3">
      <c r="B180" s="379" t="str">
        <f>IF(VerbrauchsanteilSchuleSnacks&lt;&gt;100%,"Hinweis: Zur Berechnung der CO₂-Bilanz werden nur "&amp;TEXT(VerbrauchsanteilSchuleSnacks,"0 %")&amp;" der hier angegebenen Emissionen verwendet.","")</f>
        <v>Hinweis: Zur Berechnung der CO₂-Bilanz werden nur 50 % der hier angegebenen Emissionen verwendet.</v>
      </c>
      <c r="T180" s="84"/>
    </row>
    <row r="181" spans="1:52" ht="18" customHeight="1" x14ac:dyDescent="0.3">
      <c r="B181" s="379" t="str">
        <f>IF(VerbrauchsanteilSchuleSnacks&lt;&gt;100%,"Dies entspricht "&amp;TEXT(F179*VerbrauchsanteilSchuleSnacks,"#.##0")&amp;" kg CO₂. Der Anteil der Schule kann im Tabellenblatt Einstellungen geändert werden.","")</f>
        <v>Dies entspricht 842 kg CO₂. Der Anteil der Schule kann im Tabellenblatt Einstellungen geändert werden.</v>
      </c>
      <c r="T181" s="84"/>
    </row>
    <row r="182" spans="1:52" ht="18" customHeight="1" x14ac:dyDescent="0.3">
      <c r="B182" s="374"/>
      <c r="T182" s="84"/>
    </row>
    <row r="183" spans="1:52" ht="18" customHeight="1" x14ac:dyDescent="0.3">
      <c r="T183" s="84"/>
    </row>
    <row r="184" spans="1:52" ht="18" customHeight="1" thickBot="1" x14ac:dyDescent="0.45">
      <c r="B184" s="530" t="s">
        <v>1493</v>
      </c>
      <c r="C184" s="531"/>
      <c r="D184" s="531"/>
      <c r="E184" s="531"/>
      <c r="T184" s="84"/>
    </row>
    <row r="185" spans="1:52" ht="18" customHeight="1" thickTop="1" x14ac:dyDescent="0.3">
      <c r="B185" s="384"/>
      <c r="T185" s="84"/>
    </row>
    <row r="186" spans="1:52" ht="18" thickBot="1" x14ac:dyDescent="0.4">
      <c r="B186" s="496" t="str">
        <f>"CO₂-Bilanz Gericht 1: "&amp;$D$187</f>
        <v>CO₂-Bilanz Gericht 1: Hamburger</v>
      </c>
      <c r="C186" s="496"/>
      <c r="D186" s="496"/>
      <c r="E186" s="496"/>
      <c r="T186" s="84"/>
    </row>
    <row r="187" spans="1:52" ht="15" thickTop="1" x14ac:dyDescent="0.3">
      <c r="B187" t="s">
        <v>994</v>
      </c>
      <c r="D187" s="288" t="s">
        <v>1187</v>
      </c>
      <c r="F187" s="78"/>
      <c r="G187" s="78"/>
      <c r="H187" s="78"/>
      <c r="I187" s="78"/>
    </row>
    <row r="188" spans="1:52" x14ac:dyDescent="0.3">
      <c r="B188" t="s">
        <v>995</v>
      </c>
      <c r="C188" s="78"/>
      <c r="D188" s="291">
        <v>1</v>
      </c>
      <c r="E188" s="301" t="str">
        <f>IF(ISNUMBER(FIND("g",_xlfn.CONCAT(E190:E195))),"Bitte Menge als reine Zahl ohne Zusatz g eingeben","")</f>
        <v/>
      </c>
      <c r="G188" s="78"/>
      <c r="H188" s="78"/>
      <c r="T188" s="329" t="s">
        <v>918</v>
      </c>
      <c r="U188" s="330"/>
      <c r="V188" s="330"/>
      <c r="W188" s="330"/>
      <c r="X188" s="330"/>
      <c r="Y188" s="330"/>
    </row>
    <row r="189" spans="1:52" ht="44.4" x14ac:dyDescent="0.35">
      <c r="A189" s="376" t="s">
        <v>1217</v>
      </c>
      <c r="C189" s="297" t="s">
        <v>993</v>
      </c>
      <c r="D189" s="313" t="s">
        <v>992</v>
      </c>
      <c r="E189" s="298" t="s">
        <v>323</v>
      </c>
      <c r="F189" s="298" t="s">
        <v>324</v>
      </c>
      <c r="G189" s="296" t="s">
        <v>534</v>
      </c>
      <c r="H189" s="296" t="s">
        <v>535</v>
      </c>
      <c r="P189" s="356" t="s">
        <v>956</v>
      </c>
      <c r="Q189" s="356" t="s">
        <v>957</v>
      </c>
      <c r="R189" s="357" t="s">
        <v>958</v>
      </c>
      <c r="S189" s="357" t="s">
        <v>1028</v>
      </c>
      <c r="T189" s="361">
        <v>1</v>
      </c>
      <c r="U189" s="362">
        <v>2</v>
      </c>
      <c r="V189" s="362">
        <v>3</v>
      </c>
      <c r="W189" s="362">
        <v>4</v>
      </c>
      <c r="X189" s="362">
        <v>5</v>
      </c>
      <c r="Y189" s="362">
        <v>6</v>
      </c>
      <c r="Z189" s="362">
        <v>7</v>
      </c>
      <c r="AA189" s="362">
        <v>8</v>
      </c>
      <c r="AB189" s="362">
        <v>9</v>
      </c>
      <c r="AC189" s="362">
        <v>10</v>
      </c>
      <c r="AD189" s="362">
        <v>11</v>
      </c>
      <c r="AE189" s="362">
        <v>12</v>
      </c>
      <c r="AF189" s="362">
        <v>13</v>
      </c>
      <c r="AG189" s="362">
        <v>14</v>
      </c>
      <c r="AH189" s="362">
        <v>15</v>
      </c>
      <c r="AI189" s="362">
        <v>16</v>
      </c>
      <c r="AJ189" s="362">
        <v>17</v>
      </c>
      <c r="AK189" s="362">
        <v>18</v>
      </c>
      <c r="AL189" s="362">
        <v>19</v>
      </c>
      <c r="AM189" s="362">
        <v>20</v>
      </c>
      <c r="AN189" s="362">
        <v>21</v>
      </c>
      <c r="AO189" s="362">
        <v>22</v>
      </c>
      <c r="AP189" s="362">
        <v>23</v>
      </c>
      <c r="AQ189" s="362">
        <v>24</v>
      </c>
      <c r="AR189" s="362">
        <v>25</v>
      </c>
      <c r="AS189" s="362">
        <v>26</v>
      </c>
      <c r="AT189" s="362">
        <v>27</v>
      </c>
      <c r="AU189" s="362">
        <v>28</v>
      </c>
      <c r="AV189" s="362">
        <v>29</v>
      </c>
      <c r="AW189" s="362">
        <v>30</v>
      </c>
      <c r="AX189" s="362">
        <v>31</v>
      </c>
      <c r="AY189" s="362">
        <v>32</v>
      </c>
      <c r="AZ189" s="363">
        <v>33</v>
      </c>
    </row>
    <row r="190" spans="1:52" x14ac:dyDescent="0.3">
      <c r="B190" t="s">
        <v>13</v>
      </c>
      <c r="C190" s="471" t="s">
        <v>911</v>
      </c>
      <c r="D190" s="472" t="s">
        <v>319</v>
      </c>
      <c r="E190" s="470">
        <v>100</v>
      </c>
      <c r="F190" s="473" t="s">
        <v>12</v>
      </c>
      <c r="G190" s="350">
        <f t="shared" ref="G190:G195" si="7">IF(D190="","",R190*IF(F190="Ja",FaktorBeiLokalemProdukt,1))</f>
        <v>0.7</v>
      </c>
      <c r="H190" s="293">
        <f t="shared" ref="H190:H195" si="8">IF(D190="","",E190*G190)</f>
        <v>70</v>
      </c>
      <c r="P190" s="331">
        <f t="shared" ref="P190:P195" si="9">VLOOKUP(C190,$C$457:$D$464,2,FALSE)</f>
        <v>16</v>
      </c>
      <c r="Q190" s="332">
        <f>MATCH(D190,T190:AZ190,0)</f>
        <v>3</v>
      </c>
      <c r="R190" s="358">
        <f t="shared" ref="R190:R195" si="10">_xlfn.IFNA(IF(D190&lt;&gt;"",VLOOKUP(D190,$C$544:$E$774,2,FALSE),0),0)</f>
        <v>0.7</v>
      </c>
      <c r="S190" s="358">
        <f t="shared" ref="S190:S195" si="11">_xlfn.IFNA(IF(D190&lt;&gt;"",VLOOKUP(D190,$C$544:$E$774,3,FALSE),0),0)</f>
        <v>1</v>
      </c>
      <c r="T190" s="333" t="str" cm="1">
        <f t="array" ref="T190">IF($C190&lt;&gt;"bitte wählen",INDEX(ListeLebensmittelIFEU,T$189+1,$P190),"")</f>
        <v>Brot, Mischbrot</v>
      </c>
      <c r="U190" s="334" t="str" cm="1">
        <f t="array" ref="U190">IF($C190&lt;&gt;"bitte wählen",INDEX(ListeLebensmittelIFEU,U$189+1,$P190),"")</f>
        <v>Brot (Bio), Mischbrot</v>
      </c>
      <c r="V190" s="334" t="str" cm="1">
        <f t="array" ref="V190">IF($C190&lt;&gt;"bitte wählen",INDEX(ListeLebensmittelIFEU,V$189+1,$P190),"")</f>
        <v>Brötchen, Weißbrot</v>
      </c>
      <c r="W190" s="334" t="str" cm="1">
        <f t="array" ref="W190">IF($C190&lt;&gt;"bitte wählen",INDEX(ListeLebensmittelIFEU,W$189+1,$P190),"")</f>
        <v>Bulgur</v>
      </c>
      <c r="X190" s="334" t="str" cm="1">
        <f t="array" ref="X190">IF($C190&lt;&gt;"bitte wählen",INDEX(ListeLebensmittelIFEU,X$189+1,$P190),"")</f>
        <v>Dinkel, Reisersatz</v>
      </c>
      <c r="Y190" s="334" t="str" cm="1">
        <f t="array" ref="Y190">IF($C190&lt;&gt;"bitte wählen",INDEX(ListeLebensmittelIFEU,Y$189+1,$P190),"")</f>
        <v>Erdnüsse, in Schale</v>
      </c>
      <c r="Z190" s="334" t="str" cm="1">
        <f t="array" ref="Z190">IF($C190&lt;&gt;"bitte wählen",INDEX(ListeLebensmittelIFEU,Z$189+1,$P190),"")</f>
        <v>Erdnussbutter</v>
      </c>
      <c r="AA190" s="334" t="str" cm="1">
        <f t="array" ref="AA190">IF($C190&lt;&gt;"bitte wählen",INDEX(ListeLebensmittelIFEU,AA$189+1,$P190),"")</f>
        <v>Feinbackwaren</v>
      </c>
      <c r="AB190" s="334" t="str" cm="1">
        <f t="array" ref="AB190">IF($C190&lt;&gt;"bitte wählen",INDEX(ListeLebensmittelIFEU,AB$189+1,$P190),"")</f>
        <v>Gnocchi</v>
      </c>
      <c r="AC190" s="334" t="str" cm="1">
        <f t="array" ref="AC190">IF($C190&lt;&gt;"bitte wählen",INDEX(ListeLebensmittelIFEU,AC$189+1,$P190),"")</f>
        <v>Haferflocken</v>
      </c>
      <c r="AD190" s="334" t="str" cm="1">
        <f t="array" ref="AD190">IF($C190&lt;&gt;"bitte wählen",INDEX(ListeLebensmittelIFEU,AD$189+1,$P190),"")</f>
        <v>Honig, Glas</v>
      </c>
      <c r="AE190" s="334" t="str" cm="1">
        <f t="array" ref="AE190">IF($C190&lt;&gt;"bitte wählen",INDEX(ListeLebensmittelIFEU,AE$189+1,$P190),"")</f>
        <v>Kokosöl</v>
      </c>
      <c r="AF190" s="334" t="str" cm="1">
        <f t="array" ref="AF190">IF($C190&lt;&gt;"bitte wählen",INDEX(ListeLebensmittelIFEU,AF$189+1,$P190),"")</f>
        <v>Margarine, halbfett</v>
      </c>
      <c r="AG190" s="334" t="str" cm="1">
        <f t="array" ref="AG190">IF($C190&lt;&gt;"bitte wählen",INDEX(ListeLebensmittelIFEU,AG$189+1,$P190),"")</f>
        <v>Margarine, vollfett</v>
      </c>
      <c r="AH190" s="334" t="str" cm="1">
        <f t="array" ref="AH190">IF($C190&lt;&gt;"bitte wählen",INDEX(ListeLebensmittelIFEU,AH$189+1,$P190),"")</f>
        <v>Margarine (Bio), vollfett</v>
      </c>
      <c r="AI190" s="334" t="str" cm="1">
        <f t="array" ref="AI190">IF($C190&lt;&gt;"bitte wählen",INDEX(ListeLebensmittelIFEU,AI$189+1,$P190),"")</f>
        <v>Mehl</v>
      </c>
      <c r="AJ190" s="334" t="str" cm="1">
        <f t="array" ref="AJ190">IF($C190&lt;&gt;"bitte wählen",INDEX(ListeLebensmittelIFEU,AJ$189+1,$P190),"")</f>
        <v>Nudeln</v>
      </c>
      <c r="AK190" s="334" t="str" cm="1">
        <f t="array" ref="AK190">IF($C190&lt;&gt;"bitte wählen",INDEX(ListeLebensmittelIFEU,AK$189+1,$P190),"")</f>
        <v>Nudeln (Bio)</v>
      </c>
      <c r="AL190" s="334" t="str" cm="1">
        <f t="array" ref="AL190">IF($C190&lt;&gt;"bitte wählen",INDEX(ListeLebensmittelIFEU,AL$189+1,$P190),"")</f>
        <v>Olivenöl, Glaseinwegflasche</v>
      </c>
      <c r="AM190" s="334" t="str" cm="1">
        <f t="array" ref="AM190">IF($C190&lt;&gt;"bitte wählen",INDEX(ListeLebensmittelIFEU,AM$189+1,$P190),"")</f>
        <v>Palmfett</v>
      </c>
      <c r="AN190" s="334" t="str" cm="1">
        <f t="array" ref="AN190">IF($C190&lt;&gt;"bitte wählen",INDEX(ListeLebensmittelIFEU,AN$189+1,$P190),"")</f>
        <v>Pommes, tiefgekühlt</v>
      </c>
      <c r="AO190" s="334" t="str" cm="1">
        <f t="array" ref="AO190">IF($C190&lt;&gt;"bitte wählen",INDEX(ListeLebensmittelIFEU,AO$189+1,$P190),"")</f>
        <v>Rapsöl, Glaseinwegflasche</v>
      </c>
      <c r="AP190" s="334" t="str" cm="1">
        <f t="array" ref="AP190">IF($C190&lt;&gt;"bitte wählen",INDEX(ListeLebensmittelIFEU,AP$189+1,$P190),"")</f>
        <v>Reis</v>
      </c>
      <c r="AQ190" s="334" t="str" cm="1">
        <f t="array" ref="AQ190">IF($C190&lt;&gt;"bitte wählen",INDEX(ListeLebensmittelIFEU,AQ$189+1,$P190),"")</f>
        <v>Schokolade, Vollmilchschokolade, Tafel, 35 % Kakaogehalt</v>
      </c>
      <c r="AR190" s="334" t="str" cm="1">
        <f t="array" ref="AR190">IF($C190&lt;&gt;"bitte wählen",INDEX(ListeLebensmittelIFEU,AR$189+1,$P190),"")</f>
        <v>Sonnenblumenkerne</v>
      </c>
      <c r="AS190" s="334" t="str" cm="1">
        <f t="array" ref="AS190">IF($C190&lt;&gt;"bitte wählen",INDEX(ListeLebensmittelIFEU,AS$189+1,$P190),"")</f>
        <v>Sonnenblumenöl, Glaseinwegflasche</v>
      </c>
      <c r="AT190" s="334" t="str" cm="1">
        <f t="array" ref="AT190">IF($C190&lt;&gt;"bitte wählen",INDEX(ListeLebensmittelIFEU,AT$189+1,$P190),"")</f>
        <v>Walnüsse, in Schale</v>
      </c>
      <c r="AU190" s="334" t="str" cm="1">
        <f t="array" ref="AU190">IF($C190&lt;&gt;"bitte wählen",INDEX(ListeLebensmittelIFEU,AU$189+1,$P190),"")</f>
        <v>Zucker, Rübenzucker</v>
      </c>
      <c r="AV190" s="334" t="str" cm="1">
        <f t="array" ref="AV190">IF($C190&lt;&gt;"bitte wählen",INDEX(ListeLebensmittelIFEU,AV$189+1,$P190),"")</f>
        <v>Zucker (Bio), Rübenzucker</v>
      </c>
      <c r="AW190" s="334" t="str" cm="1">
        <f t="array" ref="AW190">IF($C190&lt;&gt;"bitte wählen",INDEX(ListeLebensmittelIFEU,AW$189+1,$P190),"")</f>
        <v>Zucker, Rohrzucker</v>
      </c>
      <c r="AX190" s="334" t="str" cm="1">
        <f t="array" ref="AX190">IF($C190&lt;&gt;"bitte wählen",INDEX(ListeLebensmittelIFEU,AX$189+1,$P190),"")</f>
        <v>Zucker (Bio), Rohrzucker</v>
      </c>
      <c r="AY190" s="334" cm="1">
        <f t="array" ref="AY190">IF($C190&lt;&gt;"bitte wählen",INDEX(ListeLebensmittelIFEU,AY$189+1,$P190),"")</f>
        <v>0</v>
      </c>
      <c r="AZ190" s="335" cm="1">
        <f t="array" ref="AZ190">IF($C190&lt;&gt;"bitte wählen",INDEX(ListeLebensmittelIFEU,AZ$189+1,$P190),"")</f>
        <v>0</v>
      </c>
    </row>
    <row r="191" spans="1:52" x14ac:dyDescent="0.3">
      <c r="B191" t="s">
        <v>327</v>
      </c>
      <c r="C191" s="471" t="s">
        <v>990</v>
      </c>
      <c r="D191" s="472" t="s">
        <v>947</v>
      </c>
      <c r="E191" s="349">
        <v>150</v>
      </c>
      <c r="F191" s="473" t="s">
        <v>12</v>
      </c>
      <c r="G191" s="350">
        <f t="shared" si="7"/>
        <v>9.1999999999999993</v>
      </c>
      <c r="H191" s="293">
        <f t="shared" si="8"/>
        <v>1380</v>
      </c>
      <c r="P191" s="333">
        <f t="shared" si="9"/>
        <v>13</v>
      </c>
      <c r="Q191" s="334">
        <f t="shared" ref="Q191:Q195" si="12">MATCH(D191,T191:AZ191,0)</f>
        <v>16</v>
      </c>
      <c r="R191" s="359">
        <f t="shared" si="10"/>
        <v>9.1999999999999993</v>
      </c>
      <c r="S191" s="380">
        <f t="shared" si="11"/>
        <v>10</v>
      </c>
      <c r="T191" s="333" t="str" cm="1">
        <f t="array" ref="T191">IF($C191&lt;&gt;"bitte wählen",INDEX(ListeLebensmittelIFEU,T$189+1,$P191),"")</f>
        <v>Bratling/Veggieburger/Patty auf Sojabasis</v>
      </c>
      <c r="U191" s="334" t="str" cm="1">
        <f t="array" ref="U191">IF($C191&lt;&gt;"bitte wählen",INDEX(ListeLebensmittelIFEU,U$189+1,$P191),"")</f>
        <v>Bratling/Veggieburger/Patty auf Erbsenbasis</v>
      </c>
      <c r="V191" s="334" t="str" cm="1">
        <f t="array" ref="V191">IF($C191&lt;&gt;"bitte wählen",INDEX(ListeLebensmittelIFEU,V$189+1,$P191),"")</f>
        <v>Fisch, Wildfang, Massenware, gefroren</v>
      </c>
      <c r="W191" s="334" t="str" cm="1">
        <f t="array" ref="W191">IF($C191&lt;&gt;"bitte wählen",INDEX(ListeLebensmittelIFEU,W$189+1,$P191),"")</f>
        <v>Fisch, Wildfang, Spezialität, gefroren</v>
      </c>
      <c r="X191" s="334" t="str" cm="1">
        <f t="array" ref="X191">IF($C191&lt;&gt;"bitte wählen",INDEX(ListeLebensmittelIFEU,X$189+1,$P191),"")</f>
        <v>Fisch, Aquakultur</v>
      </c>
      <c r="Y191" s="334" t="str" cm="1">
        <f t="array" ref="Y191">IF($C191&lt;&gt;"bitte wählen",INDEX(ListeLebensmittelIFEU,Y$189+1,$P191),"")</f>
        <v>Fisch, Garnelen, gefroren</v>
      </c>
      <c r="Z191" s="334" t="str" cm="1">
        <f t="array" ref="Z191">IF($C191&lt;&gt;"bitte wählen",INDEX(ListeLebensmittelIFEU,Z$189+1,$P191),"")</f>
        <v>Fisch, Wildfang, frisch</v>
      </c>
      <c r="AA191" s="334" t="str" cm="1">
        <f t="array" ref="AA191">IF($C191&lt;&gt;"bitte wählen",INDEX(ListeLebensmittelIFEU,AA$189+1,$P191),"")</f>
        <v>Gemüsenugget /-schnitzel</v>
      </c>
      <c r="AB191" s="334" t="str" cm="1">
        <f t="array" ref="AB191">IF($C191&lt;&gt;"bitte wählen",INDEX(ListeLebensmittelIFEU,AB$189+1,$P191),"")</f>
        <v>Hähnchen, Durchschnitt</v>
      </c>
      <c r="AC191" s="334" t="str" cm="1">
        <f t="array" ref="AC191">IF($C191&lt;&gt;"bitte wählen",INDEX(ListeLebensmittelIFEU,AC$189+1,$P191),"")</f>
        <v>Hähnchen, gefroren</v>
      </c>
      <c r="AD191" s="334" t="str" cm="1">
        <f t="array" ref="AD191">IF($C191&lt;&gt;"bitte wählen",INDEX(ListeLebensmittelIFEU,AD$189+1,$P191),"")</f>
        <v>Hähnchen, Nuggets</v>
      </c>
      <c r="AE191" s="334" t="str" cm="1">
        <f t="array" ref="AE191">IF($C191&lt;&gt;"bitte wählen",INDEX(ListeLebensmittelIFEU,AE$189+1,$P191),"")</f>
        <v>Hähnchen, Wurstaufschnitt</v>
      </c>
      <c r="AF191" s="334" t="str" cm="1">
        <f t="array" ref="AF191">IF($C191&lt;&gt;"bitte wählen",INDEX(ListeLebensmittelIFEU,AF$189+1,$P191),"")</f>
        <v>Lupinenmehl</v>
      </c>
      <c r="AG191" s="334" t="str" cm="1">
        <f t="array" ref="AG191">IF($C191&lt;&gt;"bitte wählen",INDEX(ListeLebensmittelIFEU,AG$189+1,$P191),"")</f>
        <v>Rindfleisch, Durchschnitt</v>
      </c>
      <c r="AH191" s="334" t="str" cm="1">
        <f t="array" ref="AH191">IF($C191&lt;&gt;"bitte wählen",INDEX(ListeLebensmittelIFEU,AH$189+1,$P191),"")</f>
        <v>Rindfleisch (Bio)</v>
      </c>
      <c r="AI191" s="334" t="str" cm="1">
        <f t="array" ref="AI191">IF($C191&lt;&gt;"bitte wählen",INDEX(ListeLebensmittelIFEU,AI$189+1,$P191),"")</f>
        <v>Rinder-Hackfleisch</v>
      </c>
      <c r="AJ191" s="334" t="str" cm="1">
        <f t="array" ref="AJ191">IF($C191&lt;&gt;"bitte wählen",INDEX(ListeLebensmittelIFEU,AJ$189+1,$P191),"")</f>
        <v>Rinder-Hackfleisch (Bio)</v>
      </c>
      <c r="AK191" s="334" t="str" cm="1">
        <f t="array" ref="AK191">IF($C191&lt;&gt;"bitte wählen",INDEX(ListeLebensmittelIFEU,AK$189+1,$P191),"")</f>
        <v>Rinder-Patty/-Bratling, tiefgekühlt</v>
      </c>
      <c r="AL191" s="334" t="str" cm="1">
        <f t="array" ref="AL191">IF($C191&lt;&gt;"bitte wählen",INDEX(ListeLebensmittelIFEU,AL$189+1,$P191),"")</f>
        <v>Schweinefleisch, Durchschnitt</v>
      </c>
      <c r="AM191" s="334" t="str" cm="1">
        <f t="array" ref="AM191">IF($C191&lt;&gt;"bitte wählen",INDEX(ListeLebensmittelIFEU,AM$189+1,$P191),"")</f>
        <v>Schweinefleisch (Bio)</v>
      </c>
      <c r="AN191" s="334" t="str" cm="1">
        <f t="array" ref="AN191">IF($C191&lt;&gt;"bitte wählen",INDEX(ListeLebensmittelIFEU,AN$189+1,$P191),"")</f>
        <v>Schweinefleisch, gefroren</v>
      </c>
      <c r="AO191" s="334" t="str" cm="1">
        <f t="array" ref="AO191">IF($C191&lt;&gt;"bitte wählen",INDEX(ListeLebensmittelIFEU,AO$189+1,$P191),"")</f>
        <v>Seitan</v>
      </c>
      <c r="AP191" s="334" t="str" cm="1">
        <f t="array" ref="AP191">IF($C191&lt;&gt;"bitte wählen",INDEX(ListeLebensmittelIFEU,AP$189+1,$P191),"")</f>
        <v>Sojagranulat, Textured Vegetable Protein (TVP)</v>
      </c>
      <c r="AQ191" s="334" t="str" cm="1">
        <f t="array" ref="AQ191">IF($C191&lt;&gt;"bitte wählen",INDEX(ListeLebensmittelIFEU,AQ$189+1,$P191),"")</f>
        <v>Tempeh</v>
      </c>
      <c r="AR191" s="334" t="str" cm="1">
        <f t="array" ref="AR191">IF($C191&lt;&gt;"bitte wählen",INDEX(ListeLebensmittelIFEU,AR$189+1,$P191),"")</f>
        <v>Tofu</v>
      </c>
      <c r="AS191" s="334" t="str" cm="1">
        <f t="array" ref="AS191">IF($C191&lt;&gt;"bitte wählen",INDEX(ListeLebensmittelIFEU,AS$189+1,$P191),"")</f>
        <v>Wildfleisch, Hirsch</v>
      </c>
      <c r="AT191" s="334" t="str" cm="1">
        <f t="array" ref="AT191">IF($C191&lt;&gt;"bitte wählen",INDEX(ListeLebensmittelIFEU,AT$189+1,$P191),"")</f>
        <v>Wurst, Bratwurst, Thüringer Rostbratwurst</v>
      </c>
      <c r="AU191" s="334" t="str" cm="1">
        <f t="array" ref="AU191">IF($C191&lt;&gt;"bitte wählen",INDEX(ListeLebensmittelIFEU,AU$189+1,$P191),"")</f>
        <v>Wurst-Ersatz, vegane Bratwurst</v>
      </c>
      <c r="AV191" s="334" t="str" cm="1">
        <f t="array" ref="AV191">IF($C191&lt;&gt;"bitte wählen",INDEX(ListeLebensmittelIFEU,AV$189+1,$P191),"")</f>
        <v>Wurstaufschnitt vom Rind, Aufschnitt</v>
      </c>
      <c r="AW191" s="334" cm="1">
        <f t="array" ref="AW191">IF($C191&lt;&gt;"bitte wählen",INDEX(ListeLebensmittelIFEU,AW$189+1,$P191),"")</f>
        <v>0</v>
      </c>
      <c r="AX191" s="334" cm="1">
        <f t="array" ref="AX191">IF($C191&lt;&gt;"bitte wählen",INDEX(ListeLebensmittelIFEU,AX$189+1,$P191),"")</f>
        <v>0</v>
      </c>
      <c r="AY191" s="334" cm="1">
        <f t="array" ref="AY191">IF($C191&lt;&gt;"bitte wählen",INDEX(ListeLebensmittelIFEU,AY$189+1,$P191),"")</f>
        <v>0</v>
      </c>
      <c r="AZ191" s="335" cm="1">
        <f t="array" ref="AZ191">IF($C191&lt;&gt;"bitte wählen",INDEX(ListeLebensmittelIFEU,AZ$189+1,$P191),"")</f>
        <v>0</v>
      </c>
    </row>
    <row r="192" spans="1:52" x14ac:dyDescent="0.3">
      <c r="B192" t="s">
        <v>328</v>
      </c>
      <c r="C192" s="471" t="s">
        <v>915</v>
      </c>
      <c r="D192" s="472" t="s">
        <v>801</v>
      </c>
      <c r="E192" s="349">
        <v>20</v>
      </c>
      <c r="F192" s="473" t="s">
        <v>114</v>
      </c>
      <c r="G192" s="350">
        <f t="shared" si="7"/>
        <v>0.38</v>
      </c>
      <c r="H192" s="293">
        <f t="shared" si="8"/>
        <v>7.6</v>
      </c>
      <c r="P192" s="333">
        <f t="shared" si="9"/>
        <v>7</v>
      </c>
      <c r="Q192" s="334">
        <f t="shared" si="12"/>
        <v>5</v>
      </c>
      <c r="R192" s="359">
        <f t="shared" si="10"/>
        <v>0.4</v>
      </c>
      <c r="S192" s="380">
        <f t="shared" si="11"/>
        <v>0</v>
      </c>
      <c r="T192" s="333" t="str" cm="1">
        <f t="array" ref="T192">IF($C192&lt;&gt;"bitte wählen",INDEX(ListeLebensmittelIFEU,T$189+1,$P192),"")</f>
        <v>Salatgurke mit Plastikfolienverpackung</v>
      </c>
      <c r="U192" s="334" t="str" cm="1">
        <f t="array" ref="U192">IF($C192&lt;&gt;"bitte wählen",INDEX(ListeLebensmittelIFEU,U$189+1,$P192),"")</f>
        <v>Salatgurke, ohne Plastikfolienverpackung</v>
      </c>
      <c r="V192" s="334" t="str" cm="1">
        <f t="array" ref="V192">IF($C192&lt;&gt;"bitte wählen",INDEX(ListeLebensmittelIFEU,V$189+1,$P192),"")</f>
        <v>Salatgurke (Bio), mit Plastikfolienverpackung</v>
      </c>
      <c r="W192" s="334" t="str" cm="1">
        <f t="array" ref="W192">IF($C192&lt;&gt;"bitte wählen",INDEX(ListeLebensmittelIFEU,W$189+1,$P192),"")</f>
        <v>Salatgurke (Bio), ohne Plastikfolienverpackung</v>
      </c>
      <c r="X192" s="334" t="str" cm="1">
        <f t="array" ref="X192">IF($C192&lt;&gt;"bitte wählen",INDEX(ListeLebensmittelIFEU,X$189+1,$P192),"")</f>
        <v>Salatmischung, gewaschen</v>
      </c>
      <c r="Y192" s="334" t="str" cm="1">
        <f t="array" ref="Y192">IF($C192&lt;&gt;"bitte wählen",INDEX(ListeLebensmittelIFEU,Y$189+1,$P192),"")</f>
        <v>Sellerie</v>
      </c>
      <c r="Z192" s="334" t="str" cm="1">
        <f t="array" ref="Z192">IF($C192&lt;&gt;"bitte wählen",INDEX(ListeLebensmittelIFEU,Z$189+1,$P192),"")</f>
        <v>Spargel</v>
      </c>
      <c r="AA192" s="334" t="str" cm="1">
        <f t="array" ref="AA192">IF($C192&lt;&gt;"bitte wählen",INDEX(ListeLebensmittelIFEU,AA$189+1,$P192),"")</f>
        <v>Spinat, frisch</v>
      </c>
      <c r="AB192" s="334" t="str" cm="1">
        <f t="array" ref="AB192">IF($C192&lt;&gt;"bitte wählen",INDEX(ListeLebensmittelIFEU,AB$189+1,$P192),"")</f>
        <v>Spinat, Blattspinat, gefroren</v>
      </c>
      <c r="AC192" s="334" t="str" cm="1">
        <f t="array" ref="AC192">IF($C192&lt;&gt;"bitte wählen",INDEX(ListeLebensmittelIFEU,AC$189+1,$P192),"")</f>
        <v>Tomaten, frisch, Durchschnitt</v>
      </c>
      <c r="AD192" s="334" t="str" cm="1">
        <f t="array" ref="AD192">IF($C192&lt;&gt;"bitte wählen",INDEX(ListeLebensmittelIFEU,AD$189+1,$P192),"")</f>
        <v>Tomaten, aus Deutschland, saisonal</v>
      </c>
      <c r="AE192" s="334" t="str" cm="1">
        <f t="array" ref="AE192">IF($C192&lt;&gt;"bitte wählen",INDEX(ListeLebensmittelIFEU,AE$189+1,$P192),"")</f>
        <v>Tomaten, aus Südeuropa, Freiland</v>
      </c>
      <c r="AF192" s="334" t="str" cm="1">
        <f t="array" ref="AF192">IF($C192&lt;&gt;"bitte wählen",INDEX(ListeLebensmittelIFEU,AF$189+1,$P192),"")</f>
        <v>Tomaten (Bio), frisch</v>
      </c>
      <c r="AG192" s="334" t="str" cm="1">
        <f t="array" ref="AG192">IF($C192&lt;&gt;"bitte wählen",INDEX(ListeLebensmittelIFEU,AG$189+1,$P192),"")</f>
        <v>Tomaten, Kirschtomaten</v>
      </c>
      <c r="AH192" s="334" t="str" cm="1">
        <f t="array" ref="AH192">IF($C192&lt;&gt;"bitte wählen",INDEX(ListeLebensmittelIFEU,AH$189+1,$P192),"")</f>
        <v>Tomaten, aus Deutschland, beheiztes Gewächshaus, „Winter-Tomate“</v>
      </c>
      <c r="AI192" s="334" t="str" cm="1">
        <f t="array" ref="AI192">IF($C192&lt;&gt;"bitte wählen",INDEX(ListeLebensmittelIFEU,AI$189+1,$P192),"")</f>
        <v>Tomaten, passiert, Verbundkarton</v>
      </c>
      <c r="AJ192" s="334" t="str" cm="1">
        <f t="array" ref="AJ192">IF($C192&lt;&gt;"bitte wählen",INDEX(ListeLebensmittelIFEU,AJ$189+1,$P192),"")</f>
        <v>Tomaten, passiert, Dose</v>
      </c>
      <c r="AK192" s="334" t="str" cm="1">
        <f t="array" ref="AK192">IF($C192&lt;&gt;"bitte wählen",INDEX(ListeLebensmittelIFEU,AK$189+1,$P192),"")</f>
        <v>Tomaten, passiert, Glas</v>
      </c>
      <c r="AL192" s="334" t="str" cm="1">
        <f t="array" ref="AL192">IF($C192&lt;&gt;"bitte wählen",INDEX(ListeLebensmittelIFEU,AL$189+1,$P192),"")</f>
        <v>Tomatenmark</v>
      </c>
      <c r="AM192" s="334" t="str" cm="1">
        <f t="array" ref="AM192">IF($C192&lt;&gt;"bitte wählen",INDEX(ListeLebensmittelIFEU,AM$189+1,$P192),"")</f>
        <v>Trauben, frisch, Durchschnitt</v>
      </c>
      <c r="AN192" s="334" t="str" cm="1">
        <f t="array" ref="AN192">IF($C192&lt;&gt;"bitte wählen",INDEX(ListeLebensmittelIFEU,AN$189+1,$P192),"")</f>
        <v>Trauben, frisch, aus Deutschland, saisonal</v>
      </c>
      <c r="AO192" s="334" t="str" cm="1">
        <f t="array" ref="AO192">IF($C192&lt;&gt;"bitte wählen",INDEX(ListeLebensmittelIFEU,AO$189+1,$P192),"")</f>
        <v>Trauben, frisch, aus Italien, saisonal</v>
      </c>
      <c r="AP192" s="334" t="str" cm="1">
        <f t="array" ref="AP192">IF($C192&lt;&gt;"bitte wählen",INDEX(ListeLebensmittelIFEU,AP$189+1,$P192),"")</f>
        <v>Weißkohl</v>
      </c>
      <c r="AQ192" s="334" t="str" cm="1">
        <f t="array" ref="AQ192">IF($C192&lt;&gt;"bitte wählen",INDEX(ListeLebensmittelIFEU,AQ$189+1,$P192),"")</f>
        <v>Zucchini</v>
      </c>
      <c r="AR192" s="334" t="str" cm="1">
        <f t="array" ref="AR192">IF($C192&lt;&gt;"bitte wählen",INDEX(ListeLebensmittelIFEU,AR$189+1,$P192),"")</f>
        <v>Zwiebeln</v>
      </c>
      <c r="AS192" s="334" cm="1">
        <f t="array" ref="AS192">IF($C192&lt;&gt;"bitte wählen",INDEX(ListeLebensmittelIFEU,AS$189+1,$P192),"")</f>
        <v>0</v>
      </c>
      <c r="AT192" s="334" cm="1">
        <f t="array" ref="AT192">IF($C192&lt;&gt;"bitte wählen",INDEX(ListeLebensmittelIFEU,AT$189+1,$P192),"")</f>
        <v>0</v>
      </c>
      <c r="AU192" s="334" cm="1">
        <f t="array" ref="AU192">IF($C192&lt;&gt;"bitte wählen",INDEX(ListeLebensmittelIFEU,AU$189+1,$P192),"")</f>
        <v>0</v>
      </c>
      <c r="AV192" s="334" cm="1">
        <f t="array" ref="AV192">IF($C192&lt;&gt;"bitte wählen",INDEX(ListeLebensmittelIFEU,AV$189+1,$P192),"")</f>
        <v>0</v>
      </c>
      <c r="AW192" s="334" cm="1">
        <f t="array" ref="AW192">IF($C192&lt;&gt;"bitte wählen",INDEX(ListeLebensmittelIFEU,AW$189+1,$P192),"")</f>
        <v>0</v>
      </c>
      <c r="AX192" s="334" cm="1">
        <f t="array" ref="AX192">IF($C192&lt;&gt;"bitte wählen",INDEX(ListeLebensmittelIFEU,AX$189+1,$P192),"")</f>
        <v>0</v>
      </c>
      <c r="AY192" s="334" cm="1">
        <f t="array" ref="AY192">IF($C192&lt;&gt;"bitte wählen",INDEX(ListeLebensmittelIFEU,AY$189+1,$P192),"")</f>
        <v>0</v>
      </c>
      <c r="AZ192" s="335" cm="1">
        <f t="array" ref="AZ192">IF($C192&lt;&gt;"bitte wählen",INDEX(ListeLebensmittelIFEU,AZ$189+1,$P192),"")</f>
        <v>0</v>
      </c>
    </row>
    <row r="193" spans="1:52" x14ac:dyDescent="0.3">
      <c r="B193" t="s">
        <v>329</v>
      </c>
      <c r="C193" s="471" t="s">
        <v>989</v>
      </c>
      <c r="D193" s="472" t="s">
        <v>828</v>
      </c>
      <c r="E193" s="349">
        <v>50</v>
      </c>
      <c r="F193" s="473" t="s">
        <v>12</v>
      </c>
      <c r="G193" s="350">
        <f t="shared" si="7"/>
        <v>5.7</v>
      </c>
      <c r="H193" s="293">
        <f t="shared" si="8"/>
        <v>285</v>
      </c>
      <c r="P193" s="333">
        <f t="shared" si="9"/>
        <v>10</v>
      </c>
      <c r="Q193" s="334">
        <f t="shared" si="12"/>
        <v>8</v>
      </c>
      <c r="R193" s="359">
        <f t="shared" si="10"/>
        <v>5.7</v>
      </c>
      <c r="S193" s="380">
        <f t="shared" si="11"/>
        <v>1</v>
      </c>
      <c r="T193" s="333" t="str" cm="1">
        <f t="array" ref="T193">IF($C193&lt;&gt;"bitte wählen",INDEX(ListeLebensmittelIFEU,T$189+1,$P193),"")</f>
        <v>Butter</v>
      </c>
      <c r="U193" s="334" t="str" cm="1">
        <f t="array" ref="U193">IF($C193&lt;&gt;"bitte wählen",INDEX(ListeLebensmittelIFEU,U$189+1,$P193),"")</f>
        <v>Butter (Bio)</v>
      </c>
      <c r="V193" s="334" t="str" cm="1">
        <f t="array" ref="V193">IF($C193&lt;&gt;"bitte wählen",INDEX(ListeLebensmittelIFEU,V$189+1,$P193),"")</f>
        <v>Ei</v>
      </c>
      <c r="W193" s="334" t="str" cm="1">
        <f t="array" ref="W193">IF($C193&lt;&gt;"bitte wählen",INDEX(ListeLebensmittelIFEU,W$189+1,$P193),"")</f>
        <v>Joghurt, natur, Kunststoffbecher papierummantelt</v>
      </c>
      <c r="X193" s="334" t="str" cm="1">
        <f t="array" ref="X193">IF($C193&lt;&gt;"bitte wählen",INDEX(ListeLebensmittelIFEU,X$189+1,$P193),"")</f>
        <v>Joghurt, Früchte, Kunststoffbecher papierummantelt</v>
      </c>
      <c r="Y193" s="334" t="str" cm="1">
        <f t="array" ref="Y193">IF($C193&lt;&gt;"bitte wählen",INDEX(ListeLebensmittelIFEU,Y$189+1,$P193),"")</f>
        <v>Joghurt (Bio), natur, Kunststoffbecher papierummantelt</v>
      </c>
      <c r="Z193" s="334" t="str" cm="1">
        <f t="array" ref="Z193">IF($C193&lt;&gt;"bitte wählen",INDEX(ListeLebensmittelIFEU,Z$189+1,$P193),"")</f>
        <v>Joghurt-Ersatz, Soja, Kunststoffbecher papierummantelt</v>
      </c>
      <c r="AA193" s="334" t="str" cm="1">
        <f t="array" ref="AA193">IF($C193&lt;&gt;"bitte wählen",INDEX(ListeLebensmittelIFEU,AA$189+1,$P193),"")</f>
        <v>Käse, Durchschnitt</v>
      </c>
      <c r="AB193" s="334" t="str" cm="1">
        <f t="array" ref="AB193">IF($C193&lt;&gt;"bitte wählen",INDEX(ListeLebensmittelIFEU,AB$189+1,$P193),"")</f>
        <v>Käse (Bio), Durchschnitt</v>
      </c>
      <c r="AC193" s="334" t="str" cm="1">
        <f t="array" ref="AC193">IF($C193&lt;&gt;"bitte wählen",INDEX(ListeLebensmittelIFEU,AC$189+1,$P193),"")</f>
        <v>Käse, Frischkäse</v>
      </c>
      <c r="AD193" s="334" t="str" cm="1">
        <f t="array" ref="AD193">IF($C193&lt;&gt;"bitte wählen",INDEX(ListeLebensmittelIFEU,AD$189+1,$P193),"")</f>
        <v>Käse (Bio), Frischkäse</v>
      </c>
      <c r="AE193" s="334" t="str" cm="1">
        <f t="array" ref="AE193">IF($C193&lt;&gt;"bitte wählen",INDEX(ListeLebensmittelIFEU,AE$189+1,$P193),"")</f>
        <v>Käse, Feta</v>
      </c>
      <c r="AF193" s="334" t="str" cm="1">
        <f t="array" ref="AF193">IF($C193&lt;&gt;"bitte wählen",INDEX(ListeLebensmittelIFEU,AF$189+1,$P193),"")</f>
        <v>Käse, Hartkäse, wie Emmentaler</v>
      </c>
      <c r="AG193" s="334" t="str" cm="1">
        <f t="array" ref="AG193">IF($C193&lt;&gt;"bitte wählen",INDEX(ListeLebensmittelIFEU,AG$189+1,$P193),"")</f>
        <v>Käse, Hartkäse, wie Parmesan</v>
      </c>
      <c r="AH193" s="334" t="str" cm="1">
        <f t="array" ref="AH193">IF($C193&lt;&gt;"bitte wählen",INDEX(ListeLebensmittelIFEU,AH$189+1,$P193),"")</f>
        <v>Käse-Ersatz, vegane Genießerscheiben, auf Basis von Kokosfett</v>
      </c>
      <c r="AI193" s="334" t="str" cm="1">
        <f t="array" ref="AI193">IF($C193&lt;&gt;"bitte wählen",INDEX(ListeLebensmittelIFEU,AI$189+1,$P193),"")</f>
        <v>Milch, ESL, Vollmilch, Verbundkarton</v>
      </c>
      <c r="AJ193" s="334" t="str" cm="1">
        <f t="array" ref="AJ193">IF($C193&lt;&gt;"bitte wählen",INDEX(ListeLebensmittelIFEU,AJ$189+1,$P193),"")</f>
        <v>Milch, ESL, fettarm, Verbundkarton</v>
      </c>
      <c r="AK193" s="334" t="str" cm="1">
        <f t="array" ref="AK193">IF($C193&lt;&gt;"bitte wählen",INDEX(ListeLebensmittelIFEU,AK$189+1,$P193),"")</f>
        <v>Milch, H-Milch, Vollmilch, Verbundkarton</v>
      </c>
      <c r="AL193" s="334" t="str" cm="1">
        <f t="array" ref="AL193">IF($C193&lt;&gt;"bitte wählen",INDEX(ListeLebensmittelIFEU,AL$189+1,$P193),"")</f>
        <v>Milch, H-Milch, fettarm, Verbundkarton</v>
      </c>
      <c r="AM193" s="334" t="str" cm="1">
        <f t="array" ref="AM193">IF($C193&lt;&gt;"bitte wählen",INDEX(ListeLebensmittelIFEU,AM$189+1,$P193),"")</f>
        <v>Milch (Bio), ESL, Vollmilch, Verbundkarton</v>
      </c>
      <c r="AN193" s="334" t="str" cm="1">
        <f t="array" ref="AN193">IF($C193&lt;&gt;"bitte wählen",INDEX(ListeLebensmittelIFEU,AN$189+1,$P193),"")</f>
        <v>Milch-Ersatz, Dinkeldrink</v>
      </c>
      <c r="AO193" s="334" t="str" cm="1">
        <f t="array" ref="AO193">IF($C193&lt;&gt;"bitte wählen",INDEX(ListeLebensmittelIFEU,AO$189+1,$P193),"")</f>
        <v>Milch-Ersatz, Haferdrink</v>
      </c>
      <c r="AP193" s="334" t="str" cm="1">
        <f t="array" ref="AP193">IF($C193&lt;&gt;"bitte wählen",INDEX(ListeLebensmittelIFEU,AP$189+1,$P193),"")</f>
        <v>Milch-Ersatz, Mandeldrink</v>
      </c>
      <c r="AQ193" s="334" t="str" cm="1">
        <f t="array" ref="AQ193">IF($C193&lt;&gt;"bitte wählen",INDEX(ListeLebensmittelIFEU,AQ$189+1,$P193),"")</f>
        <v>Milch-Ersatz, Sojadrink</v>
      </c>
      <c r="AR193" s="334" t="str" cm="1">
        <f t="array" ref="AR193">IF($C193&lt;&gt;"bitte wählen",INDEX(ListeLebensmittelIFEU,AR$189+1,$P193),"")</f>
        <v>Quark, 40 % Fett</v>
      </c>
      <c r="AS193" s="334" t="str" cm="1">
        <f t="array" ref="AS193">IF($C193&lt;&gt;"bitte wählen",INDEX(ListeLebensmittelIFEU,AS$189+1,$P193),"")</f>
        <v>Quark (Bio), 40 % Fett</v>
      </c>
      <c r="AT193" s="334" t="str" cm="1">
        <f t="array" ref="AT193">IF($C193&lt;&gt;"bitte wählen",INDEX(ListeLebensmittelIFEU,AT$189+1,$P193),"")</f>
        <v>Quark, Magerquark, 10 % Fett</v>
      </c>
      <c r="AU193" s="334" t="str" cm="1">
        <f t="array" ref="AU193">IF($C193&lt;&gt;"bitte wählen",INDEX(ListeLebensmittelIFEU,AU$189+1,$P193),"")</f>
        <v>Quark-Ersatz, Soja</v>
      </c>
      <c r="AV193" s="334" t="str" cm="1">
        <f t="array" ref="AV193">IF($C193&lt;&gt;"bitte wählen",INDEX(ListeLebensmittelIFEU,AV$189+1,$P193),"")</f>
        <v>Sahne</v>
      </c>
      <c r="AW193" s="334" t="str" cm="1">
        <f t="array" ref="AW193">IF($C193&lt;&gt;"bitte wählen",INDEX(ListeLebensmittelIFEU,AW$189+1,$P193),"")</f>
        <v>Sahne (Bio)</v>
      </c>
      <c r="AX193" s="334" t="str" cm="1">
        <f t="array" ref="AX193">IF($C193&lt;&gt;"bitte wählen",INDEX(ListeLebensmittelIFEU,AX$189+1,$P193),"")</f>
        <v>Sahne-Ersatz, Hafer Cuisine</v>
      </c>
      <c r="AY193" s="334" t="str" cm="1">
        <f t="array" ref="AY193">IF($C193&lt;&gt;"bitte wählen",INDEX(ListeLebensmittelIFEU,AY$189+1,$P193),"")</f>
        <v>Saure Sahne</v>
      </c>
      <c r="AZ193" s="335" cm="1">
        <f t="array" ref="AZ193">IF($C193&lt;&gt;"bitte wählen",INDEX(ListeLebensmittelIFEU,AZ$189+1,$P193),"")</f>
        <v>0</v>
      </c>
    </row>
    <row r="194" spans="1:52" x14ac:dyDescent="0.3">
      <c r="B194" t="s">
        <v>330</v>
      </c>
      <c r="C194" s="471" t="s">
        <v>912</v>
      </c>
      <c r="D194" s="472" t="s">
        <v>908</v>
      </c>
      <c r="E194" s="349">
        <v>200</v>
      </c>
      <c r="F194" s="473" t="s">
        <v>12</v>
      </c>
      <c r="G194" s="350">
        <f t="shared" si="7"/>
        <v>0.4</v>
      </c>
      <c r="H194" s="293">
        <f t="shared" si="8"/>
        <v>80</v>
      </c>
      <c r="P194" s="333">
        <f t="shared" si="9"/>
        <v>19</v>
      </c>
      <c r="Q194" s="334">
        <f t="shared" si="12"/>
        <v>6</v>
      </c>
      <c r="R194" s="359">
        <f t="shared" si="10"/>
        <v>0.4</v>
      </c>
      <c r="S194" s="380">
        <f t="shared" si="11"/>
        <v>0</v>
      </c>
      <c r="T194" s="333" t="str" cm="1">
        <f t="array" ref="T194">IF($C194&lt;&gt;"bitte wählen",INDEX(ListeLebensmittelIFEU,T$189+1,$P194),"")</f>
        <v>Kaffee, Pulver</v>
      </c>
      <c r="U194" s="334" t="str" cm="1">
        <f t="array" ref="U194">IF($C194&lt;&gt;"bitte wählen",INDEX(ListeLebensmittelIFEU,U$189+1,$P194),"")</f>
        <v>Kakao, Pulver</v>
      </c>
      <c r="V194" s="334" t="str" cm="1">
        <f t="array" ref="V194">IF($C194&lt;&gt;"bitte wählen",INDEX(ListeLebensmittelIFEU,V$189+1,$P194),"")</f>
        <v>Limonade, Orangenlimonade, 0,75 L- Einwegplastikflasche</v>
      </c>
      <c r="W194" s="334" t="str" cm="1">
        <f t="array" ref="W194">IF($C194&lt;&gt;"bitte wählen",INDEX(ListeLebensmittelIFEU,W$189+1,$P194),"")</f>
        <v>Mineralwasser, 0,7 L-Glasmehrwegflasche</v>
      </c>
      <c r="X194" s="334" t="str" cm="1">
        <f t="array" ref="X194">IF($C194&lt;&gt;"bitte wählen",INDEX(ListeLebensmittelIFEU,X$189+1,$P194),"")</f>
        <v>Saft, Orangensaft, 1,0 L-Verbundkarton</v>
      </c>
      <c r="Y194" s="334" t="str" cm="1">
        <f t="array" ref="Y194">IF($C194&lt;&gt;"bitte wählen",INDEX(ListeLebensmittelIFEU,Y$189+1,$P194),"")</f>
        <v>Saft, Apfelsaft, 1,0 L-Glasmehrwegflasche</v>
      </c>
      <c r="Z194" s="334" t="str" cm="1">
        <f t="array" ref="Z194">IF($C194&lt;&gt;"bitte wählen",INDEX(ListeLebensmittelIFEU,Z$189+1,$P194),"")</f>
        <v>Saft, Apfelsaft, 1,0 L-Verbundkarton</v>
      </c>
      <c r="AA194" s="334" t="str" cm="1">
        <f t="array" ref="AA194">IF($C194&lt;&gt;"bitte wählen",INDEX(ListeLebensmittelIFEU,AA$189+1,$P194),"")</f>
        <v>Wasser, Leitungswasser</v>
      </c>
      <c r="AB194" s="334" t="str" cm="1">
        <f t="array" ref="AB194">IF($C194&lt;&gt;"bitte wählen",INDEX(ListeLebensmittelIFEU,AB$189+1,$P194),"")</f>
        <v>Milch</v>
      </c>
      <c r="AC194" s="334" cm="1">
        <f t="array" ref="AC194">IF($C194&lt;&gt;"bitte wählen",INDEX(ListeLebensmittelIFEU,AC$189+1,$P194),"")</f>
        <v>0</v>
      </c>
      <c r="AD194" s="334" cm="1">
        <f t="array" ref="AD194">IF($C194&lt;&gt;"bitte wählen",INDEX(ListeLebensmittelIFEU,AD$189+1,$P194),"")</f>
        <v>0</v>
      </c>
      <c r="AE194" s="334" cm="1">
        <f t="array" ref="AE194">IF($C194&lt;&gt;"bitte wählen",INDEX(ListeLebensmittelIFEU,AE$189+1,$P194),"")</f>
        <v>0</v>
      </c>
      <c r="AF194" s="334" cm="1">
        <f t="array" ref="AF194">IF($C194&lt;&gt;"bitte wählen",INDEX(ListeLebensmittelIFEU,AF$189+1,$P194),"")</f>
        <v>0</v>
      </c>
      <c r="AG194" s="334" cm="1">
        <f t="array" ref="AG194">IF($C194&lt;&gt;"bitte wählen",INDEX(ListeLebensmittelIFEU,AG$189+1,$P194),"")</f>
        <v>0</v>
      </c>
      <c r="AH194" s="334" cm="1">
        <f t="array" ref="AH194">IF($C194&lt;&gt;"bitte wählen",INDEX(ListeLebensmittelIFEU,AH$189+1,$P194),"")</f>
        <v>0</v>
      </c>
      <c r="AI194" s="334" cm="1">
        <f t="array" ref="AI194">IF($C194&lt;&gt;"bitte wählen",INDEX(ListeLebensmittelIFEU,AI$189+1,$P194),"")</f>
        <v>0</v>
      </c>
      <c r="AJ194" s="334" cm="1">
        <f t="array" ref="AJ194">IF($C194&lt;&gt;"bitte wählen",INDEX(ListeLebensmittelIFEU,AJ$189+1,$P194),"")</f>
        <v>0</v>
      </c>
      <c r="AK194" s="334" cm="1">
        <f t="array" ref="AK194">IF($C194&lt;&gt;"bitte wählen",INDEX(ListeLebensmittelIFEU,AK$189+1,$P194),"")</f>
        <v>0</v>
      </c>
      <c r="AL194" s="334" cm="1">
        <f t="array" ref="AL194">IF($C194&lt;&gt;"bitte wählen",INDEX(ListeLebensmittelIFEU,AL$189+1,$P194),"")</f>
        <v>0</v>
      </c>
      <c r="AM194" s="334" cm="1">
        <f t="array" ref="AM194">IF($C194&lt;&gt;"bitte wählen",INDEX(ListeLebensmittelIFEU,AM$189+1,$P194),"")</f>
        <v>0</v>
      </c>
      <c r="AN194" s="334" cm="1">
        <f t="array" ref="AN194">IF($C194&lt;&gt;"bitte wählen",INDEX(ListeLebensmittelIFEU,AN$189+1,$P194),"")</f>
        <v>0</v>
      </c>
      <c r="AO194" s="334" cm="1">
        <f t="array" ref="AO194">IF($C194&lt;&gt;"bitte wählen",INDEX(ListeLebensmittelIFEU,AO$189+1,$P194),"")</f>
        <v>0</v>
      </c>
      <c r="AP194" s="334" cm="1">
        <f t="array" ref="AP194">IF($C194&lt;&gt;"bitte wählen",INDEX(ListeLebensmittelIFEU,AP$189+1,$P194),"")</f>
        <v>0</v>
      </c>
      <c r="AQ194" s="334" cm="1">
        <f t="array" ref="AQ194">IF($C194&lt;&gt;"bitte wählen",INDEX(ListeLebensmittelIFEU,AQ$189+1,$P194),"")</f>
        <v>0</v>
      </c>
      <c r="AR194" s="334" cm="1">
        <f t="array" ref="AR194">IF($C194&lt;&gt;"bitte wählen",INDEX(ListeLebensmittelIFEU,AR$189+1,$P194),"")</f>
        <v>0</v>
      </c>
      <c r="AS194" s="334" cm="1">
        <f t="array" ref="AS194">IF($C194&lt;&gt;"bitte wählen",INDEX(ListeLebensmittelIFEU,AS$189+1,$P194),"")</f>
        <v>0</v>
      </c>
      <c r="AT194" s="334" cm="1">
        <f t="array" ref="AT194">IF($C194&lt;&gt;"bitte wählen",INDEX(ListeLebensmittelIFEU,AT$189+1,$P194),"")</f>
        <v>0</v>
      </c>
      <c r="AU194" s="334" cm="1">
        <f t="array" ref="AU194">IF($C194&lt;&gt;"bitte wählen",INDEX(ListeLebensmittelIFEU,AU$189+1,$P194),"")</f>
        <v>0</v>
      </c>
      <c r="AV194" s="334" cm="1">
        <f t="array" ref="AV194">IF($C194&lt;&gt;"bitte wählen",INDEX(ListeLebensmittelIFEU,AV$189+1,$P194),"")</f>
        <v>0</v>
      </c>
      <c r="AW194" s="334" cm="1">
        <f t="array" ref="AW194">IF($C194&lt;&gt;"bitte wählen",INDEX(ListeLebensmittelIFEU,AW$189+1,$P194),"")</f>
        <v>0</v>
      </c>
      <c r="AX194" s="334" cm="1">
        <f t="array" ref="AX194">IF($C194&lt;&gt;"bitte wählen",INDEX(ListeLebensmittelIFEU,AX$189+1,$P194),"")</f>
        <v>0</v>
      </c>
      <c r="AY194" s="334" cm="1">
        <f t="array" ref="AY194">IF($C194&lt;&gt;"bitte wählen",INDEX(ListeLebensmittelIFEU,AY$189+1,$P194),"")</f>
        <v>0</v>
      </c>
      <c r="AZ194" s="335" cm="1">
        <f t="array" ref="AZ194">IF($C194&lt;&gt;"bitte wählen",INDEX(ListeLebensmittelIFEU,AZ$189+1,$P194),"")</f>
        <v>0</v>
      </c>
    </row>
    <row r="195" spans="1:52" x14ac:dyDescent="0.3">
      <c r="B195" t="s">
        <v>398</v>
      </c>
      <c r="C195" s="471" t="s">
        <v>27</v>
      </c>
      <c r="D195" s="472"/>
      <c r="E195" s="349"/>
      <c r="F195" s="473" t="s">
        <v>12</v>
      </c>
      <c r="G195" s="350" t="str">
        <f t="shared" si="7"/>
        <v/>
      </c>
      <c r="H195" s="293" t="str">
        <f t="shared" si="8"/>
        <v/>
      </c>
      <c r="P195" s="336">
        <f t="shared" si="9"/>
        <v>22</v>
      </c>
      <c r="Q195" s="337" t="e">
        <f t="shared" si="12"/>
        <v>#N/A</v>
      </c>
      <c r="R195" s="360">
        <f t="shared" si="10"/>
        <v>0</v>
      </c>
      <c r="S195" s="381">
        <f t="shared" si="11"/>
        <v>0</v>
      </c>
      <c r="T195" s="336" t="str" cm="1">
        <f t="array" ref="T195">IF($C195&lt;&gt;"bitte wählen",INDEX(ListeLebensmittelIFEU,T$189+1,$P195),"")</f>
        <v/>
      </c>
      <c r="U195" s="337" t="str" cm="1">
        <f t="array" ref="U195">IF($C195&lt;&gt;"bitte wählen",INDEX(ListeLebensmittelIFEU,U$189+1,$P195),"")</f>
        <v/>
      </c>
      <c r="V195" s="337" t="str" cm="1">
        <f t="array" ref="V195">IF($C195&lt;&gt;"bitte wählen",INDEX(ListeLebensmittelIFEU,V$189+1,$P195),"")</f>
        <v/>
      </c>
      <c r="W195" s="337" t="str" cm="1">
        <f t="array" ref="W195">IF($C195&lt;&gt;"bitte wählen",INDEX(ListeLebensmittelIFEU,W$189+1,$P195),"")</f>
        <v/>
      </c>
      <c r="X195" s="337" t="str" cm="1">
        <f t="array" ref="X195">IF($C195&lt;&gt;"bitte wählen",INDEX(ListeLebensmittelIFEU,X$189+1,$P195),"")</f>
        <v/>
      </c>
      <c r="Y195" s="337" t="str" cm="1">
        <f t="array" ref="Y195">IF($C195&lt;&gt;"bitte wählen",INDEX(ListeLebensmittelIFEU,Y$189+1,$P195),"")</f>
        <v/>
      </c>
      <c r="Z195" s="337" t="str" cm="1">
        <f t="array" ref="Z195">IF($C195&lt;&gt;"bitte wählen",INDEX(ListeLebensmittelIFEU,Z$189+1,$P195),"")</f>
        <v/>
      </c>
      <c r="AA195" s="337" t="str" cm="1">
        <f t="array" ref="AA195">IF($C195&lt;&gt;"bitte wählen",INDEX(ListeLebensmittelIFEU,AA$189+1,$P195),"")</f>
        <v/>
      </c>
      <c r="AB195" s="337" t="str" cm="1">
        <f t="array" ref="AB195">IF($C195&lt;&gt;"bitte wählen",INDEX(ListeLebensmittelIFEU,AB$189+1,$P195),"")</f>
        <v/>
      </c>
      <c r="AC195" s="337" t="str" cm="1">
        <f t="array" ref="AC195">IF($C195&lt;&gt;"bitte wählen",INDEX(ListeLebensmittelIFEU,AC$189+1,$P195),"")</f>
        <v/>
      </c>
      <c r="AD195" s="337" t="str" cm="1">
        <f t="array" ref="AD195">IF($C195&lt;&gt;"bitte wählen",INDEX(ListeLebensmittelIFEU,AD$189+1,$P195),"")</f>
        <v/>
      </c>
      <c r="AE195" s="337" t="str" cm="1">
        <f t="array" ref="AE195">IF($C195&lt;&gt;"bitte wählen",INDEX(ListeLebensmittelIFEU,AE$189+1,$P195),"")</f>
        <v/>
      </c>
      <c r="AF195" s="337" t="str" cm="1">
        <f t="array" ref="AF195">IF($C195&lt;&gt;"bitte wählen",INDEX(ListeLebensmittelIFEU,AF$189+1,$P195),"")</f>
        <v/>
      </c>
      <c r="AG195" s="337" t="str" cm="1">
        <f t="array" ref="AG195">IF($C195&lt;&gt;"bitte wählen",INDEX(ListeLebensmittelIFEU,AG$189+1,$P195),"")</f>
        <v/>
      </c>
      <c r="AH195" s="337" t="str" cm="1">
        <f t="array" ref="AH195">IF($C195&lt;&gt;"bitte wählen",INDEX(ListeLebensmittelIFEU,AH$189+1,$P195),"")</f>
        <v/>
      </c>
      <c r="AI195" s="337" t="str" cm="1">
        <f t="array" ref="AI195">IF($C195&lt;&gt;"bitte wählen",INDEX(ListeLebensmittelIFEU,AI$189+1,$P195),"")</f>
        <v/>
      </c>
      <c r="AJ195" s="337" t="str" cm="1">
        <f t="array" ref="AJ195">IF($C195&lt;&gt;"bitte wählen",INDEX(ListeLebensmittelIFEU,AJ$189+1,$P195),"")</f>
        <v/>
      </c>
      <c r="AK195" s="337" t="str" cm="1">
        <f t="array" ref="AK195">IF($C195&lt;&gt;"bitte wählen",INDEX(ListeLebensmittelIFEU,AK$189+1,$P195),"")</f>
        <v/>
      </c>
      <c r="AL195" s="337" t="str" cm="1">
        <f t="array" ref="AL195">IF($C195&lt;&gt;"bitte wählen",INDEX(ListeLebensmittelIFEU,AL$189+1,$P195),"")</f>
        <v/>
      </c>
      <c r="AM195" s="337" t="str" cm="1">
        <f t="array" ref="AM195">IF($C195&lt;&gt;"bitte wählen",INDEX(ListeLebensmittelIFEU,AM$189+1,$P195),"")</f>
        <v/>
      </c>
      <c r="AN195" s="337" t="str" cm="1">
        <f t="array" ref="AN195">IF($C195&lt;&gt;"bitte wählen",INDEX(ListeLebensmittelIFEU,AN$189+1,$P195),"")</f>
        <v/>
      </c>
      <c r="AO195" s="337" t="str" cm="1">
        <f t="array" ref="AO195">IF($C195&lt;&gt;"bitte wählen",INDEX(ListeLebensmittelIFEU,AO$189+1,$P195),"")</f>
        <v/>
      </c>
      <c r="AP195" s="337" t="str" cm="1">
        <f t="array" ref="AP195">IF($C195&lt;&gt;"bitte wählen",INDEX(ListeLebensmittelIFEU,AP$189+1,$P195),"")</f>
        <v/>
      </c>
      <c r="AQ195" s="337" t="str" cm="1">
        <f t="array" ref="AQ195">IF($C195&lt;&gt;"bitte wählen",INDEX(ListeLebensmittelIFEU,AQ$189+1,$P195),"")</f>
        <v/>
      </c>
      <c r="AR195" s="337" t="str" cm="1">
        <f t="array" ref="AR195">IF($C195&lt;&gt;"bitte wählen",INDEX(ListeLebensmittelIFEU,AR$189+1,$P195),"")</f>
        <v/>
      </c>
      <c r="AS195" s="337" t="str" cm="1">
        <f t="array" ref="AS195">IF($C195&lt;&gt;"bitte wählen",INDEX(ListeLebensmittelIFEU,AS$189+1,$P195),"")</f>
        <v/>
      </c>
      <c r="AT195" s="337" t="str" cm="1">
        <f t="array" ref="AT195">IF($C195&lt;&gt;"bitte wählen",INDEX(ListeLebensmittelIFEU,AT$189+1,$P195),"")</f>
        <v/>
      </c>
      <c r="AU195" s="337" t="str" cm="1">
        <f t="array" ref="AU195">IF($C195&lt;&gt;"bitte wählen",INDEX(ListeLebensmittelIFEU,AU$189+1,$P195),"")</f>
        <v/>
      </c>
      <c r="AV195" s="337" t="str" cm="1">
        <f t="array" ref="AV195">IF($C195&lt;&gt;"bitte wählen",INDEX(ListeLebensmittelIFEU,AV$189+1,$P195),"")</f>
        <v/>
      </c>
      <c r="AW195" s="337" t="str" cm="1">
        <f t="array" ref="AW195">IF($C195&lt;&gt;"bitte wählen",INDEX(ListeLebensmittelIFEU,AW$189+1,$P195),"")</f>
        <v/>
      </c>
      <c r="AX195" s="337" t="str" cm="1">
        <f t="array" ref="AX195">IF($C195&lt;&gt;"bitte wählen",INDEX(ListeLebensmittelIFEU,AX$189+1,$P195),"")</f>
        <v/>
      </c>
      <c r="AY195" s="337" t="str" cm="1">
        <f t="array" ref="AY195">IF($C195&lt;&gt;"bitte wählen",INDEX(ListeLebensmittelIFEU,AY$189+1,$P195),"")</f>
        <v/>
      </c>
      <c r="AZ195" s="338" t="str" cm="1">
        <f t="array" ref="AZ195">IF($C195&lt;&gt;"bitte wählen",INDEX(ListeLebensmittelIFEU,AZ$189+1,$P195),"")</f>
        <v/>
      </c>
    </row>
    <row r="196" spans="1:52" x14ac:dyDescent="0.3">
      <c r="B196" s="105" t="str">
        <f>IF(R196,IF(E196/IF(D188="",1,D188)&lt;GewichtMittagessenMin,"Hinweis: Dies scheint eine relativ kleine Portion zu sein",IF(E196/IF(D188="",1,D188)&gt;GewichtMittagessenMax,"Hinweis: Dies scheint eine relativ große Portion zu sein","")),"")</f>
        <v/>
      </c>
      <c r="C196" s="78"/>
      <c r="D196" s="78"/>
      <c r="E196" s="355">
        <f>SUM(E190:E195)-SUMIF(C190:C195,"Getränke",E190:E195)</f>
        <v>320</v>
      </c>
      <c r="G196" s="15" t="s">
        <v>622</v>
      </c>
      <c r="H196" s="293">
        <f>SUM(H190:H195)</f>
        <v>1822.6</v>
      </c>
      <c r="Q196" s="383" t="s">
        <v>1030</v>
      </c>
      <c r="R196" s="386" t="b">
        <f>IF(SUM(R190:R195)&gt;0,TRUE,FALSE)</f>
        <v>1</v>
      </c>
      <c r="S196" s="383">
        <f>SUM(S190:S195)</f>
        <v>12</v>
      </c>
      <c r="T196" s="383" t="s">
        <v>1029</v>
      </c>
      <c r="U196" s="383">
        <f>IF(R196,IF(S196&gt;9,10,IF(S196&gt;0,1,0)),"")</f>
        <v>10</v>
      </c>
    </row>
    <row r="197" spans="1:52" x14ac:dyDescent="0.3">
      <c r="B197" s="385" t="str">
        <f>IF(U196=0,"🌱 vegan","")</f>
        <v/>
      </c>
      <c r="C197" s="105" t="str">
        <f>IF(U196=1,"Ⓥ vegetarisch","")</f>
        <v/>
      </c>
      <c r="D197" s="384" t="str">
        <f>IF(U196=10,"🥩 mit Fleisch/Fisch","")</f>
        <v>🥩 mit Fleisch/Fisch</v>
      </c>
      <c r="E197" s="78"/>
      <c r="G197" s="15" t="s">
        <v>623</v>
      </c>
      <c r="H197" s="294">
        <f>IF(D188="",H196,H196/D188)</f>
        <v>1822.6</v>
      </c>
    </row>
    <row r="198" spans="1:52" x14ac:dyDescent="0.3"/>
    <row r="199" spans="1:52" ht="18" thickBot="1" x14ac:dyDescent="0.4">
      <c r="B199" s="496" t="str">
        <f>"CO₂-Bilanz Gericht 2: "&amp;D200</f>
        <v>CO₂-Bilanz Gericht 2: Menü 2 Pfannenkuchen</v>
      </c>
      <c r="C199" s="496"/>
      <c r="D199" s="496"/>
      <c r="E199" s="496"/>
      <c r="T199" s="84"/>
    </row>
    <row r="200" spans="1:52" ht="15" thickTop="1" x14ac:dyDescent="0.3">
      <c r="B200" t="s">
        <v>994</v>
      </c>
      <c r="D200" s="288" t="s">
        <v>1144</v>
      </c>
      <c r="F200" s="78"/>
      <c r="G200" s="78"/>
      <c r="H200" s="78"/>
      <c r="I200" s="78"/>
    </row>
    <row r="201" spans="1:52" x14ac:dyDescent="0.3">
      <c r="B201" t="s">
        <v>995</v>
      </c>
      <c r="C201" s="78"/>
      <c r="D201" s="291">
        <v>4</v>
      </c>
      <c r="E201" s="301" t="str">
        <f>IF(ISNUMBER(FIND("g",_xlfn.CONCAT(E203:E208))),"Bitte Menge als reine Zahl ohne Zusatz g eingeben","")</f>
        <v/>
      </c>
      <c r="G201" s="78"/>
      <c r="H201" s="78"/>
      <c r="T201" s="329" t="s">
        <v>918</v>
      </c>
      <c r="U201" s="330"/>
      <c r="V201" s="330"/>
      <c r="W201" s="330"/>
      <c r="X201" s="330"/>
      <c r="Y201" s="330"/>
    </row>
    <row r="202" spans="1:52" ht="44.4" x14ac:dyDescent="0.35">
      <c r="A202" s="376" t="s">
        <v>1217</v>
      </c>
      <c r="C202" s="297" t="s">
        <v>993</v>
      </c>
      <c r="D202" s="313" t="s">
        <v>992</v>
      </c>
      <c r="E202" s="298" t="s">
        <v>323</v>
      </c>
      <c r="F202" s="298" t="s">
        <v>324</v>
      </c>
      <c r="G202" s="296" t="s">
        <v>534</v>
      </c>
      <c r="H202" s="296" t="s">
        <v>535</v>
      </c>
      <c r="P202" s="356" t="s">
        <v>956</v>
      </c>
      <c r="Q202" s="356" t="s">
        <v>957</v>
      </c>
      <c r="R202" s="357" t="s">
        <v>958</v>
      </c>
      <c r="S202" s="357" t="s">
        <v>1028</v>
      </c>
      <c r="T202" s="361">
        <v>1</v>
      </c>
      <c r="U202" s="362">
        <v>2</v>
      </c>
      <c r="V202" s="362">
        <v>3</v>
      </c>
      <c r="W202" s="362">
        <v>4</v>
      </c>
      <c r="X202" s="362">
        <v>5</v>
      </c>
      <c r="Y202" s="362">
        <v>6</v>
      </c>
      <c r="Z202" s="362">
        <v>7</v>
      </c>
      <c r="AA202" s="362">
        <v>8</v>
      </c>
      <c r="AB202" s="362">
        <v>9</v>
      </c>
      <c r="AC202" s="362">
        <v>10</v>
      </c>
      <c r="AD202" s="362">
        <v>11</v>
      </c>
      <c r="AE202" s="362">
        <v>12</v>
      </c>
      <c r="AF202" s="362">
        <v>13</v>
      </c>
      <c r="AG202" s="362">
        <v>14</v>
      </c>
      <c r="AH202" s="362">
        <v>15</v>
      </c>
      <c r="AI202" s="362">
        <v>16</v>
      </c>
      <c r="AJ202" s="362">
        <v>17</v>
      </c>
      <c r="AK202" s="362">
        <v>18</v>
      </c>
      <c r="AL202" s="362">
        <v>19</v>
      </c>
      <c r="AM202" s="362">
        <v>20</v>
      </c>
      <c r="AN202" s="362">
        <v>21</v>
      </c>
      <c r="AO202" s="362">
        <v>22</v>
      </c>
      <c r="AP202" s="362">
        <v>23</v>
      </c>
      <c r="AQ202" s="362">
        <v>24</v>
      </c>
      <c r="AR202" s="362">
        <v>25</v>
      </c>
      <c r="AS202" s="362">
        <v>26</v>
      </c>
      <c r="AT202" s="362">
        <v>27</v>
      </c>
      <c r="AU202" s="362">
        <v>28</v>
      </c>
      <c r="AV202" s="362">
        <v>29</v>
      </c>
      <c r="AW202" s="362">
        <v>30</v>
      </c>
      <c r="AX202" s="362">
        <v>31</v>
      </c>
      <c r="AY202" s="362">
        <v>32</v>
      </c>
      <c r="AZ202" s="363">
        <v>33</v>
      </c>
    </row>
    <row r="203" spans="1:52" x14ac:dyDescent="0.3">
      <c r="B203" t="s">
        <v>13</v>
      </c>
      <c r="C203" s="471" t="s">
        <v>911</v>
      </c>
      <c r="D203" s="472" t="s">
        <v>880</v>
      </c>
      <c r="E203" s="470">
        <v>400</v>
      </c>
      <c r="F203" s="473" t="s">
        <v>12</v>
      </c>
      <c r="G203" s="350">
        <f t="shared" ref="G203:G208" si="13">IF(D203="","",R203*IF(F203="Ja",FaktorBeiLokalemProdukt,1))</f>
        <v>0.7</v>
      </c>
      <c r="H203" s="293">
        <f t="shared" ref="H203:H208" si="14">IF(D203="","",E203*G203)</f>
        <v>280</v>
      </c>
      <c r="P203" s="331">
        <f t="shared" ref="P203:P208" si="15">VLOOKUP(C203,$C$457:$D$464,2,FALSE)</f>
        <v>16</v>
      </c>
      <c r="Q203" s="332">
        <f>MATCH(D203,T203:AZ203,0)</f>
        <v>5</v>
      </c>
      <c r="R203" s="358">
        <f t="shared" ref="R203:R208" si="16">_xlfn.IFNA(IF(D203&lt;&gt;"",VLOOKUP(D203,$C$544:$E$774,2,FALSE),0),0)</f>
        <v>0.7</v>
      </c>
      <c r="S203" s="358">
        <f t="shared" ref="S203:S208" si="17">_xlfn.IFNA(IF(D203&lt;&gt;"",VLOOKUP(D203,$C$544:$E$774,3,FALSE),0),0)</f>
        <v>0</v>
      </c>
      <c r="T203" s="333" t="str" cm="1">
        <f t="array" ref="T203">IF($C203&lt;&gt;"bitte wählen",INDEX(ListeLebensmittelIFEU,T$189+1,$P203),"")</f>
        <v>Brot, Mischbrot</v>
      </c>
      <c r="U203" s="334" t="str" cm="1">
        <f t="array" ref="U203">IF($C203&lt;&gt;"bitte wählen",INDEX(ListeLebensmittelIFEU,U$189+1,$P203),"")</f>
        <v>Brot (Bio), Mischbrot</v>
      </c>
      <c r="V203" s="334" t="str" cm="1">
        <f t="array" ref="V203">IF($C203&lt;&gt;"bitte wählen",INDEX(ListeLebensmittelIFEU,V$189+1,$P203),"")</f>
        <v>Brötchen, Weißbrot</v>
      </c>
      <c r="W203" s="334" t="str" cm="1">
        <f t="array" ref="W203">IF($C203&lt;&gt;"bitte wählen",INDEX(ListeLebensmittelIFEU,W$189+1,$P203),"")</f>
        <v>Bulgur</v>
      </c>
      <c r="X203" s="334" t="str" cm="1">
        <f t="array" ref="X203">IF($C203&lt;&gt;"bitte wählen",INDEX(ListeLebensmittelIFEU,X$189+1,$P203),"")</f>
        <v>Dinkel, Reisersatz</v>
      </c>
      <c r="Y203" s="334" t="str" cm="1">
        <f t="array" ref="Y203">IF($C203&lt;&gt;"bitte wählen",INDEX(ListeLebensmittelIFEU,Y$189+1,$P203),"")</f>
        <v>Erdnüsse, in Schale</v>
      </c>
      <c r="Z203" s="334" t="str" cm="1">
        <f t="array" ref="Z203">IF($C203&lt;&gt;"bitte wählen",INDEX(ListeLebensmittelIFEU,Z$189+1,$P203),"")</f>
        <v>Erdnussbutter</v>
      </c>
      <c r="AA203" s="334" t="str" cm="1">
        <f t="array" ref="AA203">IF($C203&lt;&gt;"bitte wählen",INDEX(ListeLebensmittelIFEU,AA$189+1,$P203),"")</f>
        <v>Feinbackwaren</v>
      </c>
      <c r="AB203" s="334" t="str" cm="1">
        <f t="array" ref="AB203">IF($C203&lt;&gt;"bitte wählen",INDEX(ListeLebensmittelIFEU,AB$189+1,$P203),"")</f>
        <v>Gnocchi</v>
      </c>
      <c r="AC203" s="334" t="str" cm="1">
        <f t="array" ref="AC203">IF($C203&lt;&gt;"bitte wählen",INDEX(ListeLebensmittelIFEU,AC$189+1,$P203),"")</f>
        <v>Haferflocken</v>
      </c>
      <c r="AD203" s="334" t="str" cm="1">
        <f t="array" ref="AD203">IF($C203&lt;&gt;"bitte wählen",INDEX(ListeLebensmittelIFEU,AD$189+1,$P203),"")</f>
        <v>Honig, Glas</v>
      </c>
      <c r="AE203" s="334" t="str" cm="1">
        <f t="array" ref="AE203">IF($C203&lt;&gt;"bitte wählen",INDEX(ListeLebensmittelIFEU,AE$189+1,$P203),"")</f>
        <v>Kokosöl</v>
      </c>
      <c r="AF203" s="334" t="str" cm="1">
        <f t="array" ref="AF203">IF($C203&lt;&gt;"bitte wählen",INDEX(ListeLebensmittelIFEU,AF$189+1,$P203),"")</f>
        <v>Margarine, halbfett</v>
      </c>
      <c r="AG203" s="334" t="str" cm="1">
        <f t="array" ref="AG203">IF($C203&lt;&gt;"bitte wählen",INDEX(ListeLebensmittelIFEU,AG$189+1,$P203),"")</f>
        <v>Margarine, vollfett</v>
      </c>
      <c r="AH203" s="334" t="str" cm="1">
        <f t="array" ref="AH203">IF($C203&lt;&gt;"bitte wählen",INDEX(ListeLebensmittelIFEU,AH$189+1,$P203),"")</f>
        <v>Margarine (Bio), vollfett</v>
      </c>
      <c r="AI203" s="334" t="str" cm="1">
        <f t="array" ref="AI203">IF($C203&lt;&gt;"bitte wählen",INDEX(ListeLebensmittelIFEU,AI$189+1,$P203),"")</f>
        <v>Mehl</v>
      </c>
      <c r="AJ203" s="334" t="str" cm="1">
        <f t="array" ref="AJ203">IF($C203&lt;&gt;"bitte wählen",INDEX(ListeLebensmittelIFEU,AJ$189+1,$P203),"")</f>
        <v>Nudeln</v>
      </c>
      <c r="AK203" s="334" t="str" cm="1">
        <f t="array" ref="AK203">IF($C203&lt;&gt;"bitte wählen",INDEX(ListeLebensmittelIFEU,AK$189+1,$P203),"")</f>
        <v>Nudeln (Bio)</v>
      </c>
      <c r="AL203" s="334" t="str" cm="1">
        <f t="array" ref="AL203">IF($C203&lt;&gt;"bitte wählen",INDEX(ListeLebensmittelIFEU,AL$189+1,$P203),"")</f>
        <v>Olivenöl, Glaseinwegflasche</v>
      </c>
      <c r="AM203" s="334" t="str" cm="1">
        <f t="array" ref="AM203">IF($C203&lt;&gt;"bitte wählen",INDEX(ListeLebensmittelIFEU,AM$189+1,$P203),"")</f>
        <v>Palmfett</v>
      </c>
      <c r="AN203" s="334" t="str" cm="1">
        <f t="array" ref="AN203">IF($C203&lt;&gt;"bitte wählen",INDEX(ListeLebensmittelIFEU,AN$189+1,$P203),"")</f>
        <v>Pommes, tiefgekühlt</v>
      </c>
      <c r="AO203" s="334" t="str" cm="1">
        <f t="array" ref="AO203">IF($C203&lt;&gt;"bitte wählen",INDEX(ListeLebensmittelIFEU,AO$189+1,$P203),"")</f>
        <v>Rapsöl, Glaseinwegflasche</v>
      </c>
      <c r="AP203" s="334" t="str" cm="1">
        <f t="array" ref="AP203">IF($C203&lt;&gt;"bitte wählen",INDEX(ListeLebensmittelIFEU,AP$189+1,$P203),"")</f>
        <v>Reis</v>
      </c>
      <c r="AQ203" s="334" t="str" cm="1">
        <f t="array" ref="AQ203">IF($C203&lt;&gt;"bitte wählen",INDEX(ListeLebensmittelIFEU,AQ$189+1,$P203),"")</f>
        <v>Schokolade, Vollmilchschokolade, Tafel, 35 % Kakaogehalt</v>
      </c>
      <c r="AR203" s="334" t="str" cm="1">
        <f t="array" ref="AR203">IF($C203&lt;&gt;"bitte wählen",INDEX(ListeLebensmittelIFEU,AR$189+1,$P203),"")</f>
        <v>Sonnenblumenkerne</v>
      </c>
      <c r="AS203" s="334" t="str" cm="1">
        <f t="array" ref="AS203">IF($C203&lt;&gt;"bitte wählen",INDEX(ListeLebensmittelIFEU,AS$189+1,$P203),"")</f>
        <v>Sonnenblumenöl, Glaseinwegflasche</v>
      </c>
      <c r="AT203" s="334" t="str" cm="1">
        <f t="array" ref="AT203">IF($C203&lt;&gt;"bitte wählen",INDEX(ListeLebensmittelIFEU,AT$189+1,$P203),"")</f>
        <v>Walnüsse, in Schale</v>
      </c>
      <c r="AU203" s="334" t="str" cm="1">
        <f t="array" ref="AU203">IF($C203&lt;&gt;"bitte wählen",INDEX(ListeLebensmittelIFEU,AU$189+1,$P203),"")</f>
        <v>Zucker, Rübenzucker</v>
      </c>
      <c r="AV203" s="334" t="str" cm="1">
        <f t="array" ref="AV203">IF($C203&lt;&gt;"bitte wählen",INDEX(ListeLebensmittelIFEU,AV$189+1,$P203),"")</f>
        <v>Zucker (Bio), Rübenzucker</v>
      </c>
      <c r="AW203" s="334" t="str" cm="1">
        <f t="array" ref="AW203">IF($C203&lt;&gt;"bitte wählen",INDEX(ListeLebensmittelIFEU,AW$189+1,$P203),"")</f>
        <v>Zucker, Rohrzucker</v>
      </c>
      <c r="AX203" s="334" t="str" cm="1">
        <f t="array" ref="AX203">IF($C203&lt;&gt;"bitte wählen",INDEX(ListeLebensmittelIFEU,AX$189+1,$P203),"")</f>
        <v>Zucker (Bio), Rohrzucker</v>
      </c>
      <c r="AY203" s="334" cm="1">
        <f t="array" ref="AY203">IF($C203&lt;&gt;"bitte wählen",INDEX(ListeLebensmittelIFEU,AY$189+1,$P203),"")</f>
        <v>0</v>
      </c>
      <c r="AZ203" s="335" cm="1">
        <f t="array" ref="AZ203">IF($C203&lt;&gt;"bitte wählen",INDEX(ListeLebensmittelIFEU,AZ$189+1,$P203),"")</f>
        <v>0</v>
      </c>
    </row>
    <row r="204" spans="1:52" x14ac:dyDescent="0.3">
      <c r="B204" t="s">
        <v>327</v>
      </c>
      <c r="C204" s="471" t="s">
        <v>989</v>
      </c>
      <c r="D204" s="472" t="s">
        <v>823</v>
      </c>
      <c r="E204" s="349">
        <v>120</v>
      </c>
      <c r="F204" s="473" t="s">
        <v>12</v>
      </c>
      <c r="G204" s="350">
        <f t="shared" si="13"/>
        <v>3</v>
      </c>
      <c r="H204" s="293">
        <f t="shared" si="14"/>
        <v>360</v>
      </c>
      <c r="P204" s="333">
        <f t="shared" si="15"/>
        <v>10</v>
      </c>
      <c r="Q204" s="334">
        <f t="shared" ref="Q204:Q208" si="18">MATCH(D204,T204:AZ204,0)</f>
        <v>3</v>
      </c>
      <c r="R204" s="359">
        <f t="shared" si="16"/>
        <v>3</v>
      </c>
      <c r="S204" s="380">
        <f t="shared" si="17"/>
        <v>1</v>
      </c>
      <c r="T204" s="333" t="str" cm="1">
        <f t="array" ref="T204">IF($C204&lt;&gt;"bitte wählen",INDEX(ListeLebensmittelIFEU,T$189+1,$P204),"")</f>
        <v>Butter</v>
      </c>
      <c r="U204" s="334" t="str" cm="1">
        <f t="array" ref="U204">IF($C204&lt;&gt;"bitte wählen",INDEX(ListeLebensmittelIFEU,U$189+1,$P204),"")</f>
        <v>Butter (Bio)</v>
      </c>
      <c r="V204" s="334" t="str" cm="1">
        <f t="array" ref="V204">IF($C204&lt;&gt;"bitte wählen",INDEX(ListeLebensmittelIFEU,V$189+1,$P204),"")</f>
        <v>Ei</v>
      </c>
      <c r="W204" s="334" t="str" cm="1">
        <f t="array" ref="W204">IF($C204&lt;&gt;"bitte wählen",INDEX(ListeLebensmittelIFEU,W$189+1,$P204),"")</f>
        <v>Joghurt, natur, Kunststoffbecher papierummantelt</v>
      </c>
      <c r="X204" s="334" t="str" cm="1">
        <f t="array" ref="X204">IF($C204&lt;&gt;"bitte wählen",INDEX(ListeLebensmittelIFEU,X$189+1,$P204),"")</f>
        <v>Joghurt, Früchte, Kunststoffbecher papierummantelt</v>
      </c>
      <c r="Y204" s="334" t="str" cm="1">
        <f t="array" ref="Y204">IF($C204&lt;&gt;"bitte wählen",INDEX(ListeLebensmittelIFEU,Y$189+1,$P204),"")</f>
        <v>Joghurt (Bio), natur, Kunststoffbecher papierummantelt</v>
      </c>
      <c r="Z204" s="334" t="str" cm="1">
        <f t="array" ref="Z204">IF($C204&lt;&gt;"bitte wählen",INDEX(ListeLebensmittelIFEU,Z$189+1,$P204),"")</f>
        <v>Joghurt-Ersatz, Soja, Kunststoffbecher papierummantelt</v>
      </c>
      <c r="AA204" s="334" t="str" cm="1">
        <f t="array" ref="AA204">IF($C204&lt;&gt;"bitte wählen",INDEX(ListeLebensmittelIFEU,AA$189+1,$P204),"")</f>
        <v>Käse, Durchschnitt</v>
      </c>
      <c r="AB204" s="334" t="str" cm="1">
        <f t="array" ref="AB204">IF($C204&lt;&gt;"bitte wählen",INDEX(ListeLebensmittelIFEU,AB$189+1,$P204),"")</f>
        <v>Käse (Bio), Durchschnitt</v>
      </c>
      <c r="AC204" s="334" t="str" cm="1">
        <f t="array" ref="AC204">IF($C204&lt;&gt;"bitte wählen",INDEX(ListeLebensmittelIFEU,AC$189+1,$P204),"")</f>
        <v>Käse, Frischkäse</v>
      </c>
      <c r="AD204" s="334" t="str" cm="1">
        <f t="array" ref="AD204">IF($C204&lt;&gt;"bitte wählen",INDEX(ListeLebensmittelIFEU,AD$189+1,$P204),"")</f>
        <v>Käse (Bio), Frischkäse</v>
      </c>
      <c r="AE204" s="334" t="str" cm="1">
        <f t="array" ref="AE204">IF($C204&lt;&gt;"bitte wählen",INDEX(ListeLebensmittelIFEU,AE$189+1,$P204),"")</f>
        <v>Käse, Feta</v>
      </c>
      <c r="AF204" s="334" t="str" cm="1">
        <f t="array" ref="AF204">IF($C204&lt;&gt;"bitte wählen",INDEX(ListeLebensmittelIFEU,AF$189+1,$P204),"")</f>
        <v>Käse, Hartkäse, wie Emmentaler</v>
      </c>
      <c r="AG204" s="334" t="str" cm="1">
        <f t="array" ref="AG204">IF($C204&lt;&gt;"bitte wählen",INDEX(ListeLebensmittelIFEU,AG$189+1,$P204),"")</f>
        <v>Käse, Hartkäse, wie Parmesan</v>
      </c>
      <c r="AH204" s="334" t="str" cm="1">
        <f t="array" ref="AH204">IF($C204&lt;&gt;"bitte wählen",INDEX(ListeLebensmittelIFEU,AH$189+1,$P204),"")</f>
        <v>Käse-Ersatz, vegane Genießerscheiben, auf Basis von Kokosfett</v>
      </c>
      <c r="AI204" s="334" t="str" cm="1">
        <f t="array" ref="AI204">IF($C204&lt;&gt;"bitte wählen",INDEX(ListeLebensmittelIFEU,AI$189+1,$P204),"")</f>
        <v>Milch, ESL, Vollmilch, Verbundkarton</v>
      </c>
      <c r="AJ204" s="334" t="str" cm="1">
        <f t="array" ref="AJ204">IF($C204&lt;&gt;"bitte wählen",INDEX(ListeLebensmittelIFEU,AJ$189+1,$P204),"")</f>
        <v>Milch, ESL, fettarm, Verbundkarton</v>
      </c>
      <c r="AK204" s="334" t="str" cm="1">
        <f t="array" ref="AK204">IF($C204&lt;&gt;"bitte wählen",INDEX(ListeLebensmittelIFEU,AK$189+1,$P204),"")</f>
        <v>Milch, H-Milch, Vollmilch, Verbundkarton</v>
      </c>
      <c r="AL204" s="334" t="str" cm="1">
        <f t="array" ref="AL204">IF($C204&lt;&gt;"bitte wählen",INDEX(ListeLebensmittelIFEU,AL$189+1,$P204),"")</f>
        <v>Milch, H-Milch, fettarm, Verbundkarton</v>
      </c>
      <c r="AM204" s="334" t="str" cm="1">
        <f t="array" ref="AM204">IF($C204&lt;&gt;"bitte wählen",INDEX(ListeLebensmittelIFEU,AM$189+1,$P204),"")</f>
        <v>Milch (Bio), ESL, Vollmilch, Verbundkarton</v>
      </c>
      <c r="AN204" s="334" t="str" cm="1">
        <f t="array" ref="AN204">IF($C204&lt;&gt;"bitte wählen",INDEX(ListeLebensmittelIFEU,AN$189+1,$P204),"")</f>
        <v>Milch-Ersatz, Dinkeldrink</v>
      </c>
      <c r="AO204" s="334" t="str" cm="1">
        <f t="array" ref="AO204">IF($C204&lt;&gt;"bitte wählen",INDEX(ListeLebensmittelIFEU,AO$189+1,$P204),"")</f>
        <v>Milch-Ersatz, Haferdrink</v>
      </c>
      <c r="AP204" s="334" t="str" cm="1">
        <f t="array" ref="AP204">IF($C204&lt;&gt;"bitte wählen",INDEX(ListeLebensmittelIFEU,AP$189+1,$P204),"")</f>
        <v>Milch-Ersatz, Mandeldrink</v>
      </c>
      <c r="AQ204" s="334" t="str" cm="1">
        <f t="array" ref="AQ204">IF($C204&lt;&gt;"bitte wählen",INDEX(ListeLebensmittelIFEU,AQ$189+1,$P204),"")</f>
        <v>Milch-Ersatz, Sojadrink</v>
      </c>
      <c r="AR204" s="334" t="str" cm="1">
        <f t="array" ref="AR204">IF($C204&lt;&gt;"bitte wählen",INDEX(ListeLebensmittelIFEU,AR$189+1,$P204),"")</f>
        <v>Quark, 40 % Fett</v>
      </c>
      <c r="AS204" s="334" t="str" cm="1">
        <f t="array" ref="AS204">IF($C204&lt;&gt;"bitte wählen",INDEX(ListeLebensmittelIFEU,AS$189+1,$P204),"")</f>
        <v>Quark (Bio), 40 % Fett</v>
      </c>
      <c r="AT204" s="334" t="str" cm="1">
        <f t="array" ref="AT204">IF($C204&lt;&gt;"bitte wählen",INDEX(ListeLebensmittelIFEU,AT$189+1,$P204),"")</f>
        <v>Quark, Magerquark, 10 % Fett</v>
      </c>
      <c r="AU204" s="334" t="str" cm="1">
        <f t="array" ref="AU204">IF($C204&lt;&gt;"bitte wählen",INDEX(ListeLebensmittelIFEU,AU$189+1,$P204),"")</f>
        <v>Quark-Ersatz, Soja</v>
      </c>
      <c r="AV204" s="334" t="str" cm="1">
        <f t="array" ref="AV204">IF($C204&lt;&gt;"bitte wählen",INDEX(ListeLebensmittelIFEU,AV$189+1,$P204),"")</f>
        <v>Sahne</v>
      </c>
      <c r="AW204" s="334" t="str" cm="1">
        <f t="array" ref="AW204">IF($C204&lt;&gt;"bitte wählen",INDEX(ListeLebensmittelIFEU,AW$189+1,$P204),"")</f>
        <v>Sahne (Bio)</v>
      </c>
      <c r="AX204" s="334" t="str" cm="1">
        <f t="array" ref="AX204">IF($C204&lt;&gt;"bitte wählen",INDEX(ListeLebensmittelIFEU,AX$189+1,$P204),"")</f>
        <v>Sahne-Ersatz, Hafer Cuisine</v>
      </c>
      <c r="AY204" s="334" t="str" cm="1">
        <f t="array" ref="AY204">IF($C204&lt;&gt;"bitte wählen",INDEX(ListeLebensmittelIFEU,AY$189+1,$P204),"")</f>
        <v>Saure Sahne</v>
      </c>
      <c r="AZ204" s="335" cm="1">
        <f t="array" ref="AZ204">IF($C204&lt;&gt;"bitte wählen",INDEX(ListeLebensmittelIFEU,AZ$189+1,$P204),"")</f>
        <v>0</v>
      </c>
    </row>
    <row r="205" spans="1:52" x14ac:dyDescent="0.3">
      <c r="B205" t="s">
        <v>328</v>
      </c>
      <c r="C205" s="471" t="s">
        <v>989</v>
      </c>
      <c r="D205" s="472" t="s">
        <v>321</v>
      </c>
      <c r="E205" s="349">
        <v>80</v>
      </c>
      <c r="F205" s="473" t="s">
        <v>12</v>
      </c>
      <c r="G205" s="350">
        <f t="shared" si="13"/>
        <v>9</v>
      </c>
      <c r="H205" s="293">
        <f t="shared" si="14"/>
        <v>720</v>
      </c>
      <c r="P205" s="333">
        <f t="shared" si="15"/>
        <v>10</v>
      </c>
      <c r="Q205" s="334">
        <f t="shared" si="18"/>
        <v>1</v>
      </c>
      <c r="R205" s="359">
        <f t="shared" si="16"/>
        <v>9</v>
      </c>
      <c r="S205" s="380">
        <f t="shared" si="17"/>
        <v>1</v>
      </c>
      <c r="T205" s="333" t="str" cm="1">
        <f t="array" ref="T205">IF($C205&lt;&gt;"bitte wählen",INDEX(ListeLebensmittelIFEU,T$189+1,$P205),"")</f>
        <v>Butter</v>
      </c>
      <c r="U205" s="334" t="str" cm="1">
        <f t="array" ref="U205">IF($C205&lt;&gt;"bitte wählen",INDEX(ListeLebensmittelIFEU,U$189+1,$P205),"")</f>
        <v>Butter (Bio)</v>
      </c>
      <c r="V205" s="334" t="str" cm="1">
        <f t="array" ref="V205">IF($C205&lt;&gt;"bitte wählen",INDEX(ListeLebensmittelIFEU,V$189+1,$P205),"")</f>
        <v>Ei</v>
      </c>
      <c r="W205" s="334" t="str" cm="1">
        <f t="array" ref="W205">IF($C205&lt;&gt;"bitte wählen",INDEX(ListeLebensmittelIFEU,W$189+1,$P205),"")</f>
        <v>Joghurt, natur, Kunststoffbecher papierummantelt</v>
      </c>
      <c r="X205" s="334" t="str" cm="1">
        <f t="array" ref="X205">IF($C205&lt;&gt;"bitte wählen",INDEX(ListeLebensmittelIFEU,X$189+1,$P205),"")</f>
        <v>Joghurt, Früchte, Kunststoffbecher papierummantelt</v>
      </c>
      <c r="Y205" s="334" t="str" cm="1">
        <f t="array" ref="Y205">IF($C205&lt;&gt;"bitte wählen",INDEX(ListeLebensmittelIFEU,Y$189+1,$P205),"")</f>
        <v>Joghurt (Bio), natur, Kunststoffbecher papierummantelt</v>
      </c>
      <c r="Z205" s="334" t="str" cm="1">
        <f t="array" ref="Z205">IF($C205&lt;&gt;"bitte wählen",INDEX(ListeLebensmittelIFEU,Z$189+1,$P205),"")</f>
        <v>Joghurt-Ersatz, Soja, Kunststoffbecher papierummantelt</v>
      </c>
      <c r="AA205" s="334" t="str" cm="1">
        <f t="array" ref="AA205">IF($C205&lt;&gt;"bitte wählen",INDEX(ListeLebensmittelIFEU,AA$189+1,$P205),"")</f>
        <v>Käse, Durchschnitt</v>
      </c>
      <c r="AB205" s="334" t="str" cm="1">
        <f t="array" ref="AB205">IF($C205&lt;&gt;"bitte wählen",INDEX(ListeLebensmittelIFEU,AB$189+1,$P205),"")</f>
        <v>Käse (Bio), Durchschnitt</v>
      </c>
      <c r="AC205" s="334" t="str" cm="1">
        <f t="array" ref="AC205">IF($C205&lt;&gt;"bitte wählen",INDEX(ListeLebensmittelIFEU,AC$189+1,$P205),"")</f>
        <v>Käse, Frischkäse</v>
      </c>
      <c r="AD205" s="334" t="str" cm="1">
        <f t="array" ref="AD205">IF($C205&lt;&gt;"bitte wählen",INDEX(ListeLebensmittelIFEU,AD$189+1,$P205),"")</f>
        <v>Käse (Bio), Frischkäse</v>
      </c>
      <c r="AE205" s="334" t="str" cm="1">
        <f t="array" ref="AE205">IF($C205&lt;&gt;"bitte wählen",INDEX(ListeLebensmittelIFEU,AE$189+1,$P205),"")</f>
        <v>Käse, Feta</v>
      </c>
      <c r="AF205" s="334" t="str" cm="1">
        <f t="array" ref="AF205">IF($C205&lt;&gt;"bitte wählen",INDEX(ListeLebensmittelIFEU,AF$189+1,$P205),"")</f>
        <v>Käse, Hartkäse, wie Emmentaler</v>
      </c>
      <c r="AG205" s="334" t="str" cm="1">
        <f t="array" ref="AG205">IF($C205&lt;&gt;"bitte wählen",INDEX(ListeLebensmittelIFEU,AG$189+1,$P205),"")</f>
        <v>Käse, Hartkäse, wie Parmesan</v>
      </c>
      <c r="AH205" s="334" t="str" cm="1">
        <f t="array" ref="AH205">IF($C205&lt;&gt;"bitte wählen",INDEX(ListeLebensmittelIFEU,AH$189+1,$P205),"")</f>
        <v>Käse-Ersatz, vegane Genießerscheiben, auf Basis von Kokosfett</v>
      </c>
      <c r="AI205" s="334" t="str" cm="1">
        <f t="array" ref="AI205">IF($C205&lt;&gt;"bitte wählen",INDEX(ListeLebensmittelIFEU,AI$189+1,$P205),"")</f>
        <v>Milch, ESL, Vollmilch, Verbundkarton</v>
      </c>
      <c r="AJ205" s="334" t="str" cm="1">
        <f t="array" ref="AJ205">IF($C205&lt;&gt;"bitte wählen",INDEX(ListeLebensmittelIFEU,AJ$189+1,$P205),"")</f>
        <v>Milch, ESL, fettarm, Verbundkarton</v>
      </c>
      <c r="AK205" s="334" t="str" cm="1">
        <f t="array" ref="AK205">IF($C205&lt;&gt;"bitte wählen",INDEX(ListeLebensmittelIFEU,AK$189+1,$P205),"")</f>
        <v>Milch, H-Milch, Vollmilch, Verbundkarton</v>
      </c>
      <c r="AL205" s="334" t="str" cm="1">
        <f t="array" ref="AL205">IF($C205&lt;&gt;"bitte wählen",INDEX(ListeLebensmittelIFEU,AL$189+1,$P205),"")</f>
        <v>Milch, H-Milch, fettarm, Verbundkarton</v>
      </c>
      <c r="AM205" s="334" t="str" cm="1">
        <f t="array" ref="AM205">IF($C205&lt;&gt;"bitte wählen",INDEX(ListeLebensmittelIFEU,AM$189+1,$P205),"")</f>
        <v>Milch (Bio), ESL, Vollmilch, Verbundkarton</v>
      </c>
      <c r="AN205" s="334" t="str" cm="1">
        <f t="array" ref="AN205">IF($C205&lt;&gt;"bitte wählen",INDEX(ListeLebensmittelIFEU,AN$189+1,$P205),"")</f>
        <v>Milch-Ersatz, Dinkeldrink</v>
      </c>
      <c r="AO205" s="334" t="str" cm="1">
        <f t="array" ref="AO205">IF($C205&lt;&gt;"bitte wählen",INDEX(ListeLebensmittelIFEU,AO$189+1,$P205),"")</f>
        <v>Milch-Ersatz, Haferdrink</v>
      </c>
      <c r="AP205" s="334" t="str" cm="1">
        <f t="array" ref="AP205">IF($C205&lt;&gt;"bitte wählen",INDEX(ListeLebensmittelIFEU,AP$189+1,$P205),"")</f>
        <v>Milch-Ersatz, Mandeldrink</v>
      </c>
      <c r="AQ205" s="334" t="str" cm="1">
        <f t="array" ref="AQ205">IF($C205&lt;&gt;"bitte wählen",INDEX(ListeLebensmittelIFEU,AQ$189+1,$P205),"")</f>
        <v>Milch-Ersatz, Sojadrink</v>
      </c>
      <c r="AR205" s="334" t="str" cm="1">
        <f t="array" ref="AR205">IF($C205&lt;&gt;"bitte wählen",INDEX(ListeLebensmittelIFEU,AR$189+1,$P205),"")</f>
        <v>Quark, 40 % Fett</v>
      </c>
      <c r="AS205" s="334" t="str" cm="1">
        <f t="array" ref="AS205">IF($C205&lt;&gt;"bitte wählen",INDEX(ListeLebensmittelIFEU,AS$189+1,$P205),"")</f>
        <v>Quark (Bio), 40 % Fett</v>
      </c>
      <c r="AT205" s="334" t="str" cm="1">
        <f t="array" ref="AT205">IF($C205&lt;&gt;"bitte wählen",INDEX(ListeLebensmittelIFEU,AT$189+1,$P205),"")</f>
        <v>Quark, Magerquark, 10 % Fett</v>
      </c>
      <c r="AU205" s="334" t="str" cm="1">
        <f t="array" ref="AU205">IF($C205&lt;&gt;"bitte wählen",INDEX(ListeLebensmittelIFEU,AU$189+1,$P205),"")</f>
        <v>Quark-Ersatz, Soja</v>
      </c>
      <c r="AV205" s="334" t="str" cm="1">
        <f t="array" ref="AV205">IF($C205&lt;&gt;"bitte wählen",INDEX(ListeLebensmittelIFEU,AV$189+1,$P205),"")</f>
        <v>Sahne</v>
      </c>
      <c r="AW205" s="334" t="str" cm="1">
        <f t="array" ref="AW205">IF($C205&lt;&gt;"bitte wählen",INDEX(ListeLebensmittelIFEU,AW$189+1,$P205),"")</f>
        <v>Sahne (Bio)</v>
      </c>
      <c r="AX205" s="334" t="str" cm="1">
        <f t="array" ref="AX205">IF($C205&lt;&gt;"bitte wählen",INDEX(ListeLebensmittelIFEU,AX$189+1,$P205),"")</f>
        <v>Sahne-Ersatz, Hafer Cuisine</v>
      </c>
      <c r="AY205" s="334" t="str" cm="1">
        <f t="array" ref="AY205">IF($C205&lt;&gt;"bitte wählen",INDEX(ListeLebensmittelIFEU,AY$189+1,$P205),"")</f>
        <v>Saure Sahne</v>
      </c>
      <c r="AZ205" s="335" cm="1">
        <f t="array" ref="AZ205">IF($C205&lt;&gt;"bitte wählen",INDEX(ListeLebensmittelIFEU,AZ$189+1,$P205),"")</f>
        <v>0</v>
      </c>
    </row>
    <row r="206" spans="1:52" x14ac:dyDescent="0.3">
      <c r="B206" t="s">
        <v>329</v>
      </c>
      <c r="C206" s="471" t="s">
        <v>915</v>
      </c>
      <c r="D206" s="472" t="s">
        <v>805</v>
      </c>
      <c r="E206" s="349">
        <v>200</v>
      </c>
      <c r="F206" s="473" t="s">
        <v>12</v>
      </c>
      <c r="G206" s="350">
        <f t="shared" si="13"/>
        <v>0.6</v>
      </c>
      <c r="H206" s="293">
        <f t="shared" si="14"/>
        <v>120</v>
      </c>
      <c r="P206" s="333">
        <f t="shared" si="15"/>
        <v>7</v>
      </c>
      <c r="Q206" s="334">
        <f t="shared" si="18"/>
        <v>9</v>
      </c>
      <c r="R206" s="359">
        <f t="shared" si="16"/>
        <v>0.6</v>
      </c>
      <c r="S206" s="380">
        <f t="shared" si="17"/>
        <v>0</v>
      </c>
      <c r="T206" s="333" t="str" cm="1">
        <f t="array" ref="T206">IF($C206&lt;&gt;"bitte wählen",INDEX(ListeLebensmittelIFEU,T$189+1,$P206),"")</f>
        <v>Salatgurke mit Plastikfolienverpackung</v>
      </c>
      <c r="U206" s="334" t="str" cm="1">
        <f t="array" ref="U206">IF($C206&lt;&gt;"bitte wählen",INDEX(ListeLebensmittelIFEU,U$189+1,$P206),"")</f>
        <v>Salatgurke, ohne Plastikfolienverpackung</v>
      </c>
      <c r="V206" s="334" t="str" cm="1">
        <f t="array" ref="V206">IF($C206&lt;&gt;"bitte wählen",INDEX(ListeLebensmittelIFEU,V$189+1,$P206),"")</f>
        <v>Salatgurke (Bio), mit Plastikfolienverpackung</v>
      </c>
      <c r="W206" s="334" t="str" cm="1">
        <f t="array" ref="W206">IF($C206&lt;&gt;"bitte wählen",INDEX(ListeLebensmittelIFEU,W$189+1,$P206),"")</f>
        <v>Salatgurke (Bio), ohne Plastikfolienverpackung</v>
      </c>
      <c r="X206" s="334" t="str" cm="1">
        <f t="array" ref="X206">IF($C206&lt;&gt;"bitte wählen",INDEX(ListeLebensmittelIFEU,X$189+1,$P206),"")</f>
        <v>Salatmischung, gewaschen</v>
      </c>
      <c r="Y206" s="334" t="str" cm="1">
        <f t="array" ref="Y206">IF($C206&lt;&gt;"bitte wählen",INDEX(ListeLebensmittelIFEU,Y$189+1,$P206),"")</f>
        <v>Sellerie</v>
      </c>
      <c r="Z206" s="334" t="str" cm="1">
        <f t="array" ref="Z206">IF($C206&lt;&gt;"bitte wählen",INDEX(ListeLebensmittelIFEU,Z$189+1,$P206),"")</f>
        <v>Spargel</v>
      </c>
      <c r="AA206" s="334" t="str" cm="1">
        <f t="array" ref="AA206">IF($C206&lt;&gt;"bitte wählen",INDEX(ListeLebensmittelIFEU,AA$189+1,$P206),"")</f>
        <v>Spinat, frisch</v>
      </c>
      <c r="AB206" s="334" t="str" cm="1">
        <f t="array" ref="AB206">IF($C206&lt;&gt;"bitte wählen",INDEX(ListeLebensmittelIFEU,AB$189+1,$P206),"")</f>
        <v>Spinat, Blattspinat, gefroren</v>
      </c>
      <c r="AC206" s="334" t="str" cm="1">
        <f t="array" ref="AC206">IF($C206&lt;&gt;"bitte wählen",INDEX(ListeLebensmittelIFEU,AC$189+1,$P206),"")</f>
        <v>Tomaten, frisch, Durchschnitt</v>
      </c>
      <c r="AD206" s="334" t="str" cm="1">
        <f t="array" ref="AD206">IF($C206&lt;&gt;"bitte wählen",INDEX(ListeLebensmittelIFEU,AD$189+1,$P206),"")</f>
        <v>Tomaten, aus Deutschland, saisonal</v>
      </c>
      <c r="AE206" s="334" t="str" cm="1">
        <f t="array" ref="AE206">IF($C206&lt;&gt;"bitte wählen",INDEX(ListeLebensmittelIFEU,AE$189+1,$P206),"")</f>
        <v>Tomaten, aus Südeuropa, Freiland</v>
      </c>
      <c r="AF206" s="334" t="str" cm="1">
        <f t="array" ref="AF206">IF($C206&lt;&gt;"bitte wählen",INDEX(ListeLebensmittelIFEU,AF$189+1,$P206),"")</f>
        <v>Tomaten (Bio), frisch</v>
      </c>
      <c r="AG206" s="334" t="str" cm="1">
        <f t="array" ref="AG206">IF($C206&lt;&gt;"bitte wählen",INDEX(ListeLebensmittelIFEU,AG$189+1,$P206),"")</f>
        <v>Tomaten, Kirschtomaten</v>
      </c>
      <c r="AH206" s="334" t="str" cm="1">
        <f t="array" ref="AH206">IF($C206&lt;&gt;"bitte wählen",INDEX(ListeLebensmittelIFEU,AH$189+1,$P206),"")</f>
        <v>Tomaten, aus Deutschland, beheiztes Gewächshaus, „Winter-Tomate“</v>
      </c>
      <c r="AI206" s="334" t="str" cm="1">
        <f t="array" ref="AI206">IF($C206&lt;&gt;"bitte wählen",INDEX(ListeLebensmittelIFEU,AI$189+1,$P206),"")</f>
        <v>Tomaten, passiert, Verbundkarton</v>
      </c>
      <c r="AJ206" s="334" t="str" cm="1">
        <f t="array" ref="AJ206">IF($C206&lt;&gt;"bitte wählen",INDEX(ListeLebensmittelIFEU,AJ$189+1,$P206),"")</f>
        <v>Tomaten, passiert, Dose</v>
      </c>
      <c r="AK206" s="334" t="str" cm="1">
        <f t="array" ref="AK206">IF($C206&lt;&gt;"bitte wählen",INDEX(ListeLebensmittelIFEU,AK$189+1,$P206),"")</f>
        <v>Tomaten, passiert, Glas</v>
      </c>
      <c r="AL206" s="334" t="str" cm="1">
        <f t="array" ref="AL206">IF($C206&lt;&gt;"bitte wählen",INDEX(ListeLebensmittelIFEU,AL$189+1,$P206),"")</f>
        <v>Tomatenmark</v>
      </c>
      <c r="AM206" s="334" t="str" cm="1">
        <f t="array" ref="AM206">IF($C206&lt;&gt;"bitte wählen",INDEX(ListeLebensmittelIFEU,AM$189+1,$P206),"")</f>
        <v>Trauben, frisch, Durchschnitt</v>
      </c>
      <c r="AN206" s="334" t="str" cm="1">
        <f t="array" ref="AN206">IF($C206&lt;&gt;"bitte wählen",INDEX(ListeLebensmittelIFEU,AN$189+1,$P206),"")</f>
        <v>Trauben, frisch, aus Deutschland, saisonal</v>
      </c>
      <c r="AO206" s="334" t="str" cm="1">
        <f t="array" ref="AO206">IF($C206&lt;&gt;"bitte wählen",INDEX(ListeLebensmittelIFEU,AO$189+1,$P206),"")</f>
        <v>Trauben, frisch, aus Italien, saisonal</v>
      </c>
      <c r="AP206" s="334" t="str" cm="1">
        <f t="array" ref="AP206">IF($C206&lt;&gt;"bitte wählen",INDEX(ListeLebensmittelIFEU,AP$189+1,$P206),"")</f>
        <v>Weißkohl</v>
      </c>
      <c r="AQ206" s="334" t="str" cm="1">
        <f t="array" ref="AQ206">IF($C206&lt;&gt;"bitte wählen",INDEX(ListeLebensmittelIFEU,AQ$189+1,$P206),"")</f>
        <v>Zucchini</v>
      </c>
      <c r="AR206" s="334" t="str" cm="1">
        <f t="array" ref="AR206">IF($C206&lt;&gt;"bitte wählen",INDEX(ListeLebensmittelIFEU,AR$189+1,$P206),"")</f>
        <v>Zwiebeln</v>
      </c>
      <c r="AS206" s="334" cm="1">
        <f t="array" ref="AS206">IF($C206&lt;&gt;"bitte wählen",INDEX(ListeLebensmittelIFEU,AS$189+1,$P206),"")</f>
        <v>0</v>
      </c>
      <c r="AT206" s="334" cm="1">
        <f t="array" ref="AT206">IF($C206&lt;&gt;"bitte wählen",INDEX(ListeLebensmittelIFEU,AT$189+1,$P206),"")</f>
        <v>0</v>
      </c>
      <c r="AU206" s="334" cm="1">
        <f t="array" ref="AU206">IF($C206&lt;&gt;"bitte wählen",INDEX(ListeLebensmittelIFEU,AU$189+1,$P206),"")</f>
        <v>0</v>
      </c>
      <c r="AV206" s="334" cm="1">
        <f t="array" ref="AV206">IF($C206&lt;&gt;"bitte wählen",INDEX(ListeLebensmittelIFEU,AV$189+1,$P206),"")</f>
        <v>0</v>
      </c>
      <c r="AW206" s="334" cm="1">
        <f t="array" ref="AW206">IF($C206&lt;&gt;"bitte wählen",INDEX(ListeLebensmittelIFEU,AW$189+1,$P206),"")</f>
        <v>0</v>
      </c>
      <c r="AX206" s="334" cm="1">
        <f t="array" ref="AX206">IF($C206&lt;&gt;"bitte wählen",INDEX(ListeLebensmittelIFEU,AX$189+1,$P206),"")</f>
        <v>0</v>
      </c>
      <c r="AY206" s="334" cm="1">
        <f t="array" ref="AY206">IF($C206&lt;&gt;"bitte wählen",INDEX(ListeLebensmittelIFEU,AY$189+1,$P206),"")</f>
        <v>0</v>
      </c>
      <c r="AZ206" s="335" cm="1">
        <f t="array" ref="AZ206">IF($C206&lt;&gt;"bitte wählen",INDEX(ListeLebensmittelIFEU,AZ$189+1,$P206),"")</f>
        <v>0</v>
      </c>
    </row>
    <row r="207" spans="1:52" x14ac:dyDescent="0.3">
      <c r="B207" t="s">
        <v>330</v>
      </c>
      <c r="C207" s="471" t="s">
        <v>911</v>
      </c>
      <c r="D207" s="472" t="s">
        <v>1206</v>
      </c>
      <c r="E207" s="349">
        <v>600</v>
      </c>
      <c r="F207" s="473" t="s">
        <v>12</v>
      </c>
      <c r="G207" s="350">
        <f t="shared" si="13"/>
        <v>0.4</v>
      </c>
      <c r="H207" s="293">
        <f t="shared" si="14"/>
        <v>240</v>
      </c>
      <c r="P207" s="333">
        <f t="shared" si="15"/>
        <v>16</v>
      </c>
      <c r="Q207" s="334">
        <f t="shared" si="18"/>
        <v>16</v>
      </c>
      <c r="R207" s="359">
        <f t="shared" si="16"/>
        <v>0.4</v>
      </c>
      <c r="S207" s="380">
        <f t="shared" si="17"/>
        <v>0</v>
      </c>
      <c r="T207" s="333" t="str" cm="1">
        <f t="array" ref="T207">IF($C207&lt;&gt;"bitte wählen",INDEX(ListeLebensmittelIFEU,T$189+1,$P207),"")</f>
        <v>Brot, Mischbrot</v>
      </c>
      <c r="U207" s="334" t="str" cm="1">
        <f t="array" ref="U207">IF($C207&lt;&gt;"bitte wählen",INDEX(ListeLebensmittelIFEU,U$189+1,$P207),"")</f>
        <v>Brot (Bio), Mischbrot</v>
      </c>
      <c r="V207" s="334" t="str" cm="1">
        <f t="array" ref="V207">IF($C207&lt;&gt;"bitte wählen",INDEX(ListeLebensmittelIFEU,V$189+1,$P207),"")</f>
        <v>Brötchen, Weißbrot</v>
      </c>
      <c r="W207" s="334" t="str" cm="1">
        <f t="array" ref="W207">IF($C207&lt;&gt;"bitte wählen",INDEX(ListeLebensmittelIFEU,W$189+1,$P207),"")</f>
        <v>Bulgur</v>
      </c>
      <c r="X207" s="334" t="str" cm="1">
        <f t="array" ref="X207">IF($C207&lt;&gt;"bitte wählen",INDEX(ListeLebensmittelIFEU,X$189+1,$P207),"")</f>
        <v>Dinkel, Reisersatz</v>
      </c>
      <c r="Y207" s="334" t="str" cm="1">
        <f t="array" ref="Y207">IF($C207&lt;&gt;"bitte wählen",INDEX(ListeLebensmittelIFEU,Y$189+1,$P207),"")</f>
        <v>Erdnüsse, in Schale</v>
      </c>
      <c r="Z207" s="334" t="str" cm="1">
        <f t="array" ref="Z207">IF($C207&lt;&gt;"bitte wählen",INDEX(ListeLebensmittelIFEU,Z$189+1,$P207),"")</f>
        <v>Erdnussbutter</v>
      </c>
      <c r="AA207" s="334" t="str" cm="1">
        <f t="array" ref="AA207">IF($C207&lt;&gt;"bitte wählen",INDEX(ListeLebensmittelIFEU,AA$189+1,$P207),"")</f>
        <v>Feinbackwaren</v>
      </c>
      <c r="AB207" s="334" t="str" cm="1">
        <f t="array" ref="AB207">IF($C207&lt;&gt;"bitte wählen",INDEX(ListeLebensmittelIFEU,AB$189+1,$P207),"")</f>
        <v>Gnocchi</v>
      </c>
      <c r="AC207" s="334" t="str" cm="1">
        <f t="array" ref="AC207">IF($C207&lt;&gt;"bitte wählen",INDEX(ListeLebensmittelIFEU,AC$189+1,$P207),"")</f>
        <v>Haferflocken</v>
      </c>
      <c r="AD207" s="334" t="str" cm="1">
        <f t="array" ref="AD207">IF($C207&lt;&gt;"bitte wählen",INDEX(ListeLebensmittelIFEU,AD$189+1,$P207),"")</f>
        <v>Honig, Glas</v>
      </c>
      <c r="AE207" s="334" t="str" cm="1">
        <f t="array" ref="AE207">IF($C207&lt;&gt;"bitte wählen",INDEX(ListeLebensmittelIFEU,AE$189+1,$P207),"")</f>
        <v>Kokosöl</v>
      </c>
      <c r="AF207" s="334" t="str" cm="1">
        <f t="array" ref="AF207">IF($C207&lt;&gt;"bitte wählen",INDEX(ListeLebensmittelIFEU,AF$189+1,$P207),"")</f>
        <v>Margarine, halbfett</v>
      </c>
      <c r="AG207" s="334" t="str" cm="1">
        <f t="array" ref="AG207">IF($C207&lt;&gt;"bitte wählen",INDEX(ListeLebensmittelIFEU,AG$189+1,$P207),"")</f>
        <v>Margarine, vollfett</v>
      </c>
      <c r="AH207" s="334" t="str" cm="1">
        <f t="array" ref="AH207">IF($C207&lt;&gt;"bitte wählen",INDEX(ListeLebensmittelIFEU,AH$189+1,$P207),"")</f>
        <v>Margarine (Bio), vollfett</v>
      </c>
      <c r="AI207" s="334" t="str" cm="1">
        <f t="array" ref="AI207">IF($C207&lt;&gt;"bitte wählen",INDEX(ListeLebensmittelIFEU,AI$189+1,$P207),"")</f>
        <v>Mehl</v>
      </c>
      <c r="AJ207" s="334" t="str" cm="1">
        <f t="array" ref="AJ207">IF($C207&lt;&gt;"bitte wählen",INDEX(ListeLebensmittelIFEU,AJ$189+1,$P207),"")</f>
        <v>Nudeln</v>
      </c>
      <c r="AK207" s="334" t="str" cm="1">
        <f t="array" ref="AK207">IF($C207&lt;&gt;"bitte wählen",INDEX(ListeLebensmittelIFEU,AK$189+1,$P207),"")</f>
        <v>Nudeln (Bio)</v>
      </c>
      <c r="AL207" s="334" t="str" cm="1">
        <f t="array" ref="AL207">IF($C207&lt;&gt;"bitte wählen",INDEX(ListeLebensmittelIFEU,AL$189+1,$P207),"")</f>
        <v>Olivenöl, Glaseinwegflasche</v>
      </c>
      <c r="AM207" s="334" t="str" cm="1">
        <f t="array" ref="AM207">IF($C207&lt;&gt;"bitte wählen",INDEX(ListeLebensmittelIFEU,AM$189+1,$P207),"")</f>
        <v>Palmfett</v>
      </c>
      <c r="AN207" s="334" t="str" cm="1">
        <f t="array" ref="AN207">IF($C207&lt;&gt;"bitte wählen",INDEX(ListeLebensmittelIFEU,AN$189+1,$P207),"")</f>
        <v>Pommes, tiefgekühlt</v>
      </c>
      <c r="AO207" s="334" t="str" cm="1">
        <f t="array" ref="AO207">IF($C207&lt;&gt;"bitte wählen",INDEX(ListeLebensmittelIFEU,AO$189+1,$P207),"")</f>
        <v>Rapsöl, Glaseinwegflasche</v>
      </c>
      <c r="AP207" s="334" t="str" cm="1">
        <f t="array" ref="AP207">IF($C207&lt;&gt;"bitte wählen",INDEX(ListeLebensmittelIFEU,AP$189+1,$P207),"")</f>
        <v>Reis</v>
      </c>
      <c r="AQ207" s="334" t="str" cm="1">
        <f t="array" ref="AQ207">IF($C207&lt;&gt;"bitte wählen",INDEX(ListeLebensmittelIFEU,AQ$189+1,$P207),"")</f>
        <v>Schokolade, Vollmilchschokolade, Tafel, 35 % Kakaogehalt</v>
      </c>
      <c r="AR207" s="334" t="str" cm="1">
        <f t="array" ref="AR207">IF($C207&lt;&gt;"bitte wählen",INDEX(ListeLebensmittelIFEU,AR$189+1,$P207),"")</f>
        <v>Sonnenblumenkerne</v>
      </c>
      <c r="AS207" s="334" t="str" cm="1">
        <f t="array" ref="AS207">IF($C207&lt;&gt;"bitte wählen",INDEX(ListeLebensmittelIFEU,AS$189+1,$P207),"")</f>
        <v>Sonnenblumenöl, Glaseinwegflasche</v>
      </c>
      <c r="AT207" s="334" t="str" cm="1">
        <f t="array" ref="AT207">IF($C207&lt;&gt;"bitte wählen",INDEX(ListeLebensmittelIFEU,AT$189+1,$P207),"")</f>
        <v>Walnüsse, in Schale</v>
      </c>
      <c r="AU207" s="334" t="str" cm="1">
        <f t="array" ref="AU207">IF($C207&lt;&gt;"bitte wählen",INDEX(ListeLebensmittelIFEU,AU$189+1,$P207),"")</f>
        <v>Zucker, Rübenzucker</v>
      </c>
      <c r="AV207" s="334" t="str" cm="1">
        <f t="array" ref="AV207">IF($C207&lt;&gt;"bitte wählen",INDEX(ListeLebensmittelIFEU,AV$189+1,$P207),"")</f>
        <v>Zucker (Bio), Rübenzucker</v>
      </c>
      <c r="AW207" s="334" t="str" cm="1">
        <f t="array" ref="AW207">IF($C207&lt;&gt;"bitte wählen",INDEX(ListeLebensmittelIFEU,AW$189+1,$P207),"")</f>
        <v>Zucker, Rohrzucker</v>
      </c>
      <c r="AX207" s="334" t="str" cm="1">
        <f t="array" ref="AX207">IF($C207&lt;&gt;"bitte wählen",INDEX(ListeLebensmittelIFEU,AX$189+1,$P207),"")</f>
        <v>Zucker (Bio), Rohrzucker</v>
      </c>
      <c r="AY207" s="334" cm="1">
        <f t="array" ref="AY207">IF($C207&lt;&gt;"bitte wählen",INDEX(ListeLebensmittelIFEU,AY$189+1,$P207),"")</f>
        <v>0</v>
      </c>
      <c r="AZ207" s="335" cm="1">
        <f t="array" ref="AZ207">IF($C207&lt;&gt;"bitte wählen",INDEX(ListeLebensmittelIFEU,AZ$189+1,$P207),"")</f>
        <v>0</v>
      </c>
    </row>
    <row r="208" spans="1:52" x14ac:dyDescent="0.3">
      <c r="B208" t="s">
        <v>398</v>
      </c>
      <c r="C208" s="471" t="s">
        <v>27</v>
      </c>
      <c r="D208" s="472"/>
      <c r="E208" s="349"/>
      <c r="F208" s="473" t="s">
        <v>12</v>
      </c>
      <c r="G208" s="350" t="str">
        <f t="shared" si="13"/>
        <v/>
      </c>
      <c r="H208" s="293" t="str">
        <f t="shared" si="14"/>
        <v/>
      </c>
      <c r="P208" s="336">
        <f t="shared" si="15"/>
        <v>22</v>
      </c>
      <c r="Q208" s="337" t="e">
        <f t="shared" si="18"/>
        <v>#N/A</v>
      </c>
      <c r="R208" s="360">
        <f t="shared" si="16"/>
        <v>0</v>
      </c>
      <c r="S208" s="381">
        <f t="shared" si="17"/>
        <v>0</v>
      </c>
      <c r="T208" s="336" t="str" cm="1">
        <f t="array" ref="T208">IF($C208&lt;&gt;"bitte wählen",INDEX(ListeLebensmittelIFEU,T$189+1,$P208),"")</f>
        <v/>
      </c>
      <c r="U208" s="337" t="str" cm="1">
        <f t="array" ref="U208">IF($C208&lt;&gt;"bitte wählen",INDEX(ListeLebensmittelIFEU,U$189+1,$P208),"")</f>
        <v/>
      </c>
      <c r="V208" s="337" t="str" cm="1">
        <f t="array" ref="V208">IF($C208&lt;&gt;"bitte wählen",INDEX(ListeLebensmittelIFEU,V$189+1,$P208),"")</f>
        <v/>
      </c>
      <c r="W208" s="337" t="str" cm="1">
        <f t="array" ref="W208">IF($C208&lt;&gt;"bitte wählen",INDEX(ListeLebensmittelIFEU,W$189+1,$P208),"")</f>
        <v/>
      </c>
      <c r="X208" s="337" t="str" cm="1">
        <f t="array" ref="X208">IF($C208&lt;&gt;"bitte wählen",INDEX(ListeLebensmittelIFEU,X$189+1,$P208),"")</f>
        <v/>
      </c>
      <c r="Y208" s="337" t="str" cm="1">
        <f t="array" ref="Y208">IF($C208&lt;&gt;"bitte wählen",INDEX(ListeLebensmittelIFEU,Y$189+1,$P208),"")</f>
        <v/>
      </c>
      <c r="Z208" s="337" t="str" cm="1">
        <f t="array" ref="Z208">IF($C208&lt;&gt;"bitte wählen",INDEX(ListeLebensmittelIFEU,Z$189+1,$P208),"")</f>
        <v/>
      </c>
      <c r="AA208" s="337" t="str" cm="1">
        <f t="array" ref="AA208">IF($C208&lt;&gt;"bitte wählen",INDEX(ListeLebensmittelIFEU,AA$189+1,$P208),"")</f>
        <v/>
      </c>
      <c r="AB208" s="337" t="str" cm="1">
        <f t="array" ref="AB208">IF($C208&lt;&gt;"bitte wählen",INDEX(ListeLebensmittelIFEU,AB$189+1,$P208),"")</f>
        <v/>
      </c>
      <c r="AC208" s="337" t="str" cm="1">
        <f t="array" ref="AC208">IF($C208&lt;&gt;"bitte wählen",INDEX(ListeLebensmittelIFEU,AC$189+1,$P208),"")</f>
        <v/>
      </c>
      <c r="AD208" s="337" t="str" cm="1">
        <f t="array" ref="AD208">IF($C208&lt;&gt;"bitte wählen",INDEX(ListeLebensmittelIFEU,AD$189+1,$P208),"")</f>
        <v/>
      </c>
      <c r="AE208" s="337" t="str" cm="1">
        <f t="array" ref="AE208">IF($C208&lt;&gt;"bitte wählen",INDEX(ListeLebensmittelIFEU,AE$189+1,$P208),"")</f>
        <v/>
      </c>
      <c r="AF208" s="337" t="str" cm="1">
        <f t="array" ref="AF208">IF($C208&lt;&gt;"bitte wählen",INDEX(ListeLebensmittelIFEU,AF$189+1,$P208),"")</f>
        <v/>
      </c>
      <c r="AG208" s="337" t="str" cm="1">
        <f t="array" ref="AG208">IF($C208&lt;&gt;"bitte wählen",INDEX(ListeLebensmittelIFEU,AG$189+1,$P208),"")</f>
        <v/>
      </c>
      <c r="AH208" s="337" t="str" cm="1">
        <f t="array" ref="AH208">IF($C208&lt;&gt;"bitte wählen",INDEX(ListeLebensmittelIFEU,AH$189+1,$P208),"")</f>
        <v/>
      </c>
      <c r="AI208" s="337" t="str" cm="1">
        <f t="array" ref="AI208">IF($C208&lt;&gt;"bitte wählen",INDEX(ListeLebensmittelIFEU,AI$189+1,$P208),"")</f>
        <v/>
      </c>
      <c r="AJ208" s="337" t="str" cm="1">
        <f t="array" ref="AJ208">IF($C208&lt;&gt;"bitte wählen",INDEX(ListeLebensmittelIFEU,AJ$189+1,$P208),"")</f>
        <v/>
      </c>
      <c r="AK208" s="337" t="str" cm="1">
        <f t="array" ref="AK208">IF($C208&lt;&gt;"bitte wählen",INDEX(ListeLebensmittelIFEU,AK$189+1,$P208),"")</f>
        <v/>
      </c>
      <c r="AL208" s="337" t="str" cm="1">
        <f t="array" ref="AL208">IF($C208&lt;&gt;"bitte wählen",INDEX(ListeLebensmittelIFEU,AL$189+1,$P208),"")</f>
        <v/>
      </c>
      <c r="AM208" s="337" t="str" cm="1">
        <f t="array" ref="AM208">IF($C208&lt;&gt;"bitte wählen",INDEX(ListeLebensmittelIFEU,AM$189+1,$P208),"")</f>
        <v/>
      </c>
      <c r="AN208" s="337" t="str" cm="1">
        <f t="array" ref="AN208">IF($C208&lt;&gt;"bitte wählen",INDEX(ListeLebensmittelIFEU,AN$189+1,$P208),"")</f>
        <v/>
      </c>
      <c r="AO208" s="337" t="str" cm="1">
        <f t="array" ref="AO208">IF($C208&lt;&gt;"bitte wählen",INDEX(ListeLebensmittelIFEU,AO$189+1,$P208),"")</f>
        <v/>
      </c>
      <c r="AP208" s="337" t="str" cm="1">
        <f t="array" ref="AP208">IF($C208&lt;&gt;"bitte wählen",INDEX(ListeLebensmittelIFEU,AP$189+1,$P208),"")</f>
        <v/>
      </c>
      <c r="AQ208" s="337" t="str" cm="1">
        <f t="array" ref="AQ208">IF($C208&lt;&gt;"bitte wählen",INDEX(ListeLebensmittelIFEU,AQ$189+1,$P208),"")</f>
        <v/>
      </c>
      <c r="AR208" s="337" t="str" cm="1">
        <f t="array" ref="AR208">IF($C208&lt;&gt;"bitte wählen",INDEX(ListeLebensmittelIFEU,AR$189+1,$P208),"")</f>
        <v/>
      </c>
      <c r="AS208" s="337" t="str" cm="1">
        <f t="array" ref="AS208">IF($C208&lt;&gt;"bitte wählen",INDEX(ListeLebensmittelIFEU,AS$189+1,$P208),"")</f>
        <v/>
      </c>
      <c r="AT208" s="337" t="str" cm="1">
        <f t="array" ref="AT208">IF($C208&lt;&gt;"bitte wählen",INDEX(ListeLebensmittelIFEU,AT$189+1,$P208),"")</f>
        <v/>
      </c>
      <c r="AU208" s="337" t="str" cm="1">
        <f t="array" ref="AU208">IF($C208&lt;&gt;"bitte wählen",INDEX(ListeLebensmittelIFEU,AU$189+1,$P208),"")</f>
        <v/>
      </c>
      <c r="AV208" s="337" t="str" cm="1">
        <f t="array" ref="AV208">IF($C208&lt;&gt;"bitte wählen",INDEX(ListeLebensmittelIFEU,AV$189+1,$P208),"")</f>
        <v/>
      </c>
      <c r="AW208" s="337" t="str" cm="1">
        <f t="array" ref="AW208">IF($C208&lt;&gt;"bitte wählen",INDEX(ListeLebensmittelIFEU,AW$189+1,$P208),"")</f>
        <v/>
      </c>
      <c r="AX208" s="337" t="str" cm="1">
        <f t="array" ref="AX208">IF($C208&lt;&gt;"bitte wählen",INDEX(ListeLebensmittelIFEU,AX$189+1,$P208),"")</f>
        <v/>
      </c>
      <c r="AY208" s="337" t="str" cm="1">
        <f t="array" ref="AY208">IF($C208&lt;&gt;"bitte wählen",INDEX(ListeLebensmittelIFEU,AY$189+1,$P208),"")</f>
        <v/>
      </c>
      <c r="AZ208" s="338" t="str" cm="1">
        <f t="array" ref="AZ208">IF($C208&lt;&gt;"bitte wählen",INDEX(ListeLebensmittelIFEU,AZ$189+1,$P208),"")</f>
        <v/>
      </c>
    </row>
    <row r="209" spans="1:52" x14ac:dyDescent="0.3">
      <c r="B209" s="105" t="str">
        <f>IF(R209,IF(E209/IF(D201="",1,D201)&lt;GewichtMittagessenMin,"Hinweis: Dies scheint eine relativ kleine Portion zu sein",IF(E209/IF(D201="",1,D201)&gt;GewichtMittagessenMax,"Hinweis: Dies scheint eine relativ große Portion zu sein","")),"")</f>
        <v/>
      </c>
      <c r="C209" s="78"/>
      <c r="D209" s="78"/>
      <c r="E209" s="355">
        <f>SUM(E203:E208)-SUMIF(C203:C208,"Getränke",E203:E208)</f>
        <v>1400</v>
      </c>
      <c r="G209" s="15" t="s">
        <v>622</v>
      </c>
      <c r="H209" s="293">
        <f>SUM(H203:H208)</f>
        <v>1720</v>
      </c>
      <c r="Q209" s="383" t="s">
        <v>1030</v>
      </c>
      <c r="R209" s="386" t="b">
        <f>IF(SUM(R203:R208)&gt;0,TRUE,FALSE)</f>
        <v>1</v>
      </c>
      <c r="S209" s="383">
        <f>SUM(S203:S208)</f>
        <v>2</v>
      </c>
      <c r="T209" s="383" t="s">
        <v>1029</v>
      </c>
      <c r="U209" s="383">
        <f>IF(R209,IF(S209&gt;9,10,IF(S209&gt;0,1,0)),"")</f>
        <v>1</v>
      </c>
    </row>
    <row r="210" spans="1:52" x14ac:dyDescent="0.3">
      <c r="B210" s="385" t="str">
        <f>IF(U209=0,"🌱 vegan","")</f>
        <v/>
      </c>
      <c r="C210" s="105" t="str">
        <f>IF(U209=1,"Ⓥ vegetarisch","")</f>
        <v>Ⓥ vegetarisch</v>
      </c>
      <c r="D210" s="384" t="str">
        <f>IF(U209=10,"🥩 mit Fleisch/Fisch","")</f>
        <v/>
      </c>
      <c r="E210" s="78"/>
      <c r="G210" s="15" t="s">
        <v>623</v>
      </c>
      <c r="H210" s="294">
        <f>IF(D201="",H209,H209/D201)</f>
        <v>430</v>
      </c>
    </row>
    <row r="211" spans="1:52" x14ac:dyDescent="0.3">
      <c r="T211" s="84"/>
    </row>
    <row r="212" spans="1:52" ht="18" thickBot="1" x14ac:dyDescent="0.4">
      <c r="B212" s="496" t="str">
        <f>"CO₂-Bilanz Gericht 3: "&amp;D213</f>
        <v>CO₂-Bilanz Gericht 3: Chili sin Carne</v>
      </c>
      <c r="C212" s="496"/>
      <c r="D212" s="496"/>
      <c r="E212" s="496"/>
      <c r="T212" s="84"/>
    </row>
    <row r="213" spans="1:52" ht="15" thickTop="1" x14ac:dyDescent="0.3">
      <c r="B213" t="s">
        <v>994</v>
      </c>
      <c r="D213" s="288" t="s">
        <v>1275</v>
      </c>
      <c r="F213" s="78"/>
      <c r="G213" s="78"/>
      <c r="H213" s="78"/>
      <c r="I213" s="78"/>
    </row>
    <row r="214" spans="1:52" x14ac:dyDescent="0.3">
      <c r="B214" t="s">
        <v>995</v>
      </c>
      <c r="C214" s="78"/>
      <c r="D214" s="291">
        <v>4</v>
      </c>
      <c r="E214" s="301" t="str">
        <f>IF(ISNUMBER(FIND("g",_xlfn.CONCAT(E216:E221))),"Bitte Menge als reine Zahl ohne Zusatz g eingeben","")</f>
        <v/>
      </c>
      <c r="G214" s="78"/>
      <c r="H214" s="78"/>
      <c r="T214" s="329" t="s">
        <v>918</v>
      </c>
      <c r="U214" s="330"/>
      <c r="V214" s="330"/>
      <c r="W214" s="330"/>
      <c r="X214" s="330"/>
      <c r="Y214" s="330"/>
    </row>
    <row r="215" spans="1:52" ht="44.4" x14ac:dyDescent="0.35">
      <c r="A215" s="376" t="s">
        <v>1217</v>
      </c>
      <c r="C215" s="297" t="s">
        <v>993</v>
      </c>
      <c r="D215" s="313" t="s">
        <v>992</v>
      </c>
      <c r="E215" s="298" t="s">
        <v>323</v>
      </c>
      <c r="F215" s="298" t="s">
        <v>324</v>
      </c>
      <c r="G215" s="296" t="s">
        <v>534</v>
      </c>
      <c r="H215" s="296" t="s">
        <v>535</v>
      </c>
      <c r="P215" s="356" t="s">
        <v>956</v>
      </c>
      <c r="Q215" s="356" t="s">
        <v>957</v>
      </c>
      <c r="R215" s="357" t="s">
        <v>958</v>
      </c>
      <c r="S215" s="357" t="s">
        <v>1028</v>
      </c>
      <c r="T215" s="361">
        <v>1</v>
      </c>
      <c r="U215" s="362">
        <v>2</v>
      </c>
      <c r="V215" s="362">
        <v>3</v>
      </c>
      <c r="W215" s="362">
        <v>4</v>
      </c>
      <c r="X215" s="362">
        <v>5</v>
      </c>
      <c r="Y215" s="362">
        <v>6</v>
      </c>
      <c r="Z215" s="362">
        <v>7</v>
      </c>
      <c r="AA215" s="362">
        <v>8</v>
      </c>
      <c r="AB215" s="362">
        <v>9</v>
      </c>
      <c r="AC215" s="362">
        <v>10</v>
      </c>
      <c r="AD215" s="362">
        <v>11</v>
      </c>
      <c r="AE215" s="362">
        <v>12</v>
      </c>
      <c r="AF215" s="362">
        <v>13</v>
      </c>
      <c r="AG215" s="362">
        <v>14</v>
      </c>
      <c r="AH215" s="362">
        <v>15</v>
      </c>
      <c r="AI215" s="362">
        <v>16</v>
      </c>
      <c r="AJ215" s="362">
        <v>17</v>
      </c>
      <c r="AK215" s="362">
        <v>18</v>
      </c>
      <c r="AL215" s="362">
        <v>19</v>
      </c>
      <c r="AM215" s="362">
        <v>20</v>
      </c>
      <c r="AN215" s="362">
        <v>21</v>
      </c>
      <c r="AO215" s="362">
        <v>22</v>
      </c>
      <c r="AP215" s="362">
        <v>23</v>
      </c>
      <c r="AQ215" s="362">
        <v>24</v>
      </c>
      <c r="AR215" s="362">
        <v>25</v>
      </c>
      <c r="AS215" s="362">
        <v>26</v>
      </c>
      <c r="AT215" s="362">
        <v>27</v>
      </c>
      <c r="AU215" s="362">
        <v>28</v>
      </c>
      <c r="AV215" s="362">
        <v>29</v>
      </c>
      <c r="AW215" s="362">
        <v>30</v>
      </c>
      <c r="AX215" s="362">
        <v>31</v>
      </c>
      <c r="AY215" s="362">
        <v>32</v>
      </c>
      <c r="AZ215" s="363">
        <v>33</v>
      </c>
    </row>
    <row r="216" spans="1:52" x14ac:dyDescent="0.3">
      <c r="B216" t="s">
        <v>13</v>
      </c>
      <c r="C216" s="471" t="s">
        <v>913</v>
      </c>
      <c r="D216" s="472" t="s">
        <v>753</v>
      </c>
      <c r="E216" s="470">
        <v>500</v>
      </c>
      <c r="F216" s="473" t="s">
        <v>12</v>
      </c>
      <c r="G216" s="350">
        <f t="shared" ref="G216:G221" si="19">IF(D216="","",R216*IF(F216="Ja",FaktorBeiLokalemProdukt,1))</f>
        <v>1.3</v>
      </c>
      <c r="H216" s="293">
        <f t="shared" ref="H216:H221" si="20">IF(D216="","",E216*G216)</f>
        <v>650</v>
      </c>
      <c r="P216" s="331">
        <f t="shared" ref="P216:P221" si="21">VLOOKUP(C216,$C$457:$D$464,2,FALSE)</f>
        <v>1</v>
      </c>
      <c r="Q216" s="332">
        <f>MATCH(D216,T216:AZ216,0)</f>
        <v>18</v>
      </c>
      <c r="R216" s="358">
        <f t="shared" ref="R216:R221" si="22">_xlfn.IFNA(IF(D216&lt;&gt;"",VLOOKUP(D216,$C$544:$E$774,2,FALSE),0),0)</f>
        <v>1.3</v>
      </c>
      <c r="S216" s="358">
        <f t="shared" ref="S216:S221" si="23">_xlfn.IFNA(IF(D216&lt;&gt;"",VLOOKUP(D216,$C$544:$E$774,3,FALSE),0),0)</f>
        <v>0</v>
      </c>
      <c r="T216" s="333" t="str" cm="1">
        <f t="array" ref="T216">IF($C216&lt;&gt;"bitte wählen",INDEX(ListeLebensmittelIFEU,T$189+1,$P216),"")</f>
        <v>Ananas, frisch, gemäß realem Transport-Durchschnitt</v>
      </c>
      <c r="U216" s="334" t="str" cm="1">
        <f t="array" ref="U216">IF($C216&lt;&gt;"bitte wählen",INDEX(ListeLebensmittelIFEU,U$189+1,$P216),"")</f>
        <v>Ananas, per Schiff</v>
      </c>
      <c r="V216" s="334" t="str" cm="1">
        <f t="array" ref="V216">IF($C216&lt;&gt;"bitte wählen",INDEX(ListeLebensmittelIFEU,V$189+1,$P216),"")</f>
        <v>Ananas, per Flugzeug</v>
      </c>
      <c r="W216" s="334" t="str" cm="1">
        <f t="array" ref="W216">IF($C216&lt;&gt;"bitte wählen",INDEX(ListeLebensmittelIFEU,W$189+1,$P216),"")</f>
        <v>Ananas, Dose</v>
      </c>
      <c r="X216" s="334" t="str" cm="1">
        <f t="array" ref="X216">IF($C216&lt;&gt;"bitte wählen",INDEX(ListeLebensmittelIFEU,X$189+1,$P216),"")</f>
        <v>Apfel, Durchschnitt</v>
      </c>
      <c r="Y216" s="334" t="str" cm="1">
        <f t="array" ref="Y216">IF($C216&lt;&gt;"bitte wählen",INDEX(ListeLebensmittelIFEU,Y$189+1,$P216),"")</f>
        <v>Apfel, aus der Region im Herbst</v>
      </c>
      <c r="Z216" s="334" t="str" cm="1">
        <f t="array" ref="Z216">IF($C216&lt;&gt;"bitte wählen",INDEX(ListeLebensmittelIFEU,Z$189+1,$P216),"")</f>
        <v>Apfel, aus der Region im April</v>
      </c>
      <c r="AA216" s="334" t="str" cm="1">
        <f t="array" ref="AA216">IF($C216&lt;&gt;"bitte wählen",INDEX(ListeLebensmittelIFEU,AA$189+1,$P216),"")</f>
        <v>Apfel (Bio), Durchschnitt</v>
      </c>
      <c r="AB216" s="334" t="str" cm="1">
        <f t="array" ref="AB216">IF($C216&lt;&gt;"bitte wählen",INDEX(ListeLebensmittelIFEU,AB$189+1,$P216),"")</f>
        <v>Apfel, aus Neuseeland</v>
      </c>
      <c r="AC216" s="334" t="str" cm="1">
        <f t="array" ref="AC216">IF($C216&lt;&gt;"bitte wählen",INDEX(ListeLebensmittelIFEU,AC$189+1,$P216),"")</f>
        <v>Aubergine</v>
      </c>
      <c r="AD216" s="334" t="str" cm="1">
        <f t="array" ref="AD216">IF($C216&lt;&gt;"bitte wählen",INDEX(ListeLebensmittelIFEU,AD$189+1,$P216),"")</f>
        <v>Avocado, Durchschnitt</v>
      </c>
      <c r="AE216" s="334" t="str" cm="1">
        <f t="array" ref="AE216">IF($C216&lt;&gt;"bitte wählen",INDEX(ListeLebensmittelIFEU,AE$189+1,$P216),"")</f>
        <v>Avocado, aus Peru</v>
      </c>
      <c r="AF216" s="334" t="str" cm="1">
        <f t="array" ref="AF216">IF($C216&lt;&gt;"bitte wählen",INDEX(ListeLebensmittelIFEU,AF$189+1,$P216),"")</f>
        <v>Avocado (Bio), aus Peru</v>
      </c>
      <c r="AG216" s="334" t="str" cm="1">
        <f t="array" ref="AG216">IF($C216&lt;&gt;"bitte wählen",INDEX(ListeLebensmittelIFEU,AG$189+1,$P216),"")</f>
        <v>Banane</v>
      </c>
      <c r="AH216" s="334" t="str" cm="1">
        <f t="array" ref="AH216">IF($C216&lt;&gt;"bitte wählen",INDEX(ListeLebensmittelIFEU,AH$189+1,$P216),"")</f>
        <v>Birne</v>
      </c>
      <c r="AI216" s="334" t="str" cm="1">
        <f t="array" ref="AI216">IF($C216&lt;&gt;"bitte wählen",INDEX(ListeLebensmittelIFEU,AI$189+1,$P216),"")</f>
        <v>Blumenkohl</v>
      </c>
      <c r="AJ216" s="334" t="str" cm="1">
        <f t="array" ref="AJ216">IF($C216&lt;&gt;"bitte wählen",INDEX(ListeLebensmittelIFEU,AJ$189+1,$P216),"")</f>
        <v>Bohnen, frisch</v>
      </c>
      <c r="AK216" s="334" t="str" cm="1">
        <f t="array" ref="AK216">IF($C216&lt;&gt;"bitte wählen",INDEX(ListeLebensmittelIFEU,AK$189+1,$P216),"")</f>
        <v>Bohnen, Dose</v>
      </c>
      <c r="AL216" s="334" t="str" cm="1">
        <f t="array" ref="AL216">IF($C216&lt;&gt;"bitte wählen",INDEX(ListeLebensmittelIFEU,AL$189+1,$P216),"")</f>
        <v>Brokkoli, frisch</v>
      </c>
      <c r="AM216" s="334" t="str" cm="1">
        <f t="array" ref="AM216">IF($C216&lt;&gt;"bitte wählen",INDEX(ListeLebensmittelIFEU,AM$189+1,$P216),"")</f>
        <v>Brokkoli, gefroren</v>
      </c>
      <c r="AN216" s="334" t="str" cm="1">
        <f t="array" ref="AN216">IF($C216&lt;&gt;"bitte wählen",INDEX(ListeLebensmittelIFEU,AN$189+1,$P216),"")</f>
        <v>Champignons, frisch, hell oder dunkel</v>
      </c>
      <c r="AO216" s="334" t="str" cm="1">
        <f t="array" ref="AO216">IF($C216&lt;&gt;"bitte wählen",INDEX(ListeLebensmittelIFEU,AO$189+1,$P216),"")</f>
        <v>Champignons, Dose</v>
      </c>
      <c r="AP216" s="334" t="str" cm="1">
        <f t="array" ref="AP216">IF($C216&lt;&gt;"bitte wählen",INDEX(ListeLebensmittelIFEU,AP$189+1,$P216),"")</f>
        <v>Erbsen, frisch, grün, in Schoten</v>
      </c>
      <c r="AQ216" s="334" t="str" cm="1">
        <f t="array" ref="AQ216">IF($C216&lt;&gt;"bitte wählen",INDEX(ListeLebensmittelIFEU,AQ$189+1,$P216),"")</f>
        <v>Erbsen, getrocknet</v>
      </c>
      <c r="AR216" s="334" t="str" cm="1">
        <f t="array" ref="AR216">IF($C216&lt;&gt;"bitte wählen",INDEX(ListeLebensmittelIFEU,AR$189+1,$P216),"")</f>
        <v>Erbsen, gefroren</v>
      </c>
      <c r="AS216" s="334" t="str" cm="1">
        <f t="array" ref="AS216">IF($C216&lt;&gt;"bitte wählen",INDEX(ListeLebensmittelIFEU,AS$189+1,$P216),"")</f>
        <v>Erbsen, grün, Dose</v>
      </c>
      <c r="AT216" s="334" t="str" cm="1">
        <f t="array" ref="AT216">IF($C216&lt;&gt;"bitte wählen",INDEX(ListeLebensmittelIFEU,AT$189+1,$P216),"")</f>
        <v>Erbsen, grün, Glas</v>
      </c>
      <c r="AU216" s="334" t="str" cm="1">
        <f t="array" ref="AU216">IF($C216&lt;&gt;"bitte wählen",INDEX(ListeLebensmittelIFEU,AU$189+1,$P216),"")</f>
        <v>Erdbeeren, frisch, Durchschnitt</v>
      </c>
      <c r="AV216" s="334" t="str" cm="1">
        <f t="array" ref="AV216">IF($C216&lt;&gt;"bitte wählen",INDEX(ListeLebensmittelIFEU,AV$189+1,$P216),"")</f>
        <v>Erdbeeren, frisch, aus der Region, saisonal</v>
      </c>
      <c r="AW216" s="334" t="str" cm="1">
        <f t="array" ref="AW216">IF($C216&lt;&gt;"bitte wählen",INDEX(ListeLebensmittelIFEU,AW$189+1,$P216),"")</f>
        <v>Erdbeeren, frisch, aus Spanien</v>
      </c>
      <c r="AX216" s="334" t="str" cm="1">
        <f t="array" ref="AX216">IF($C216&lt;&gt;"bitte wählen",INDEX(ListeLebensmittelIFEU,AX$189+1,$P216),"")</f>
        <v>Erdbeeren, gefroren</v>
      </c>
      <c r="AY216" s="334" t="str" cm="1">
        <f t="array" ref="AY216">IF($C216&lt;&gt;"bitte wählen",INDEX(ListeLebensmittelIFEU,AY$189+1,$P216),"")</f>
        <v>Erdbeeren, frisch, „Winter-Erdbeeren“</v>
      </c>
      <c r="AZ216" s="335" cm="1">
        <f t="array" ref="AZ216">IF($C216&lt;&gt;"bitte wählen",INDEX(ListeLebensmittelIFEU,AZ$189+1,$P216),"")</f>
        <v>0</v>
      </c>
    </row>
    <row r="217" spans="1:52" x14ac:dyDescent="0.3">
      <c r="B217" t="s">
        <v>327</v>
      </c>
      <c r="C217" s="471" t="s">
        <v>915</v>
      </c>
      <c r="D217" s="472" t="s">
        <v>812</v>
      </c>
      <c r="E217" s="349">
        <v>500</v>
      </c>
      <c r="F217" s="473" t="s">
        <v>12</v>
      </c>
      <c r="G217" s="350">
        <f t="shared" si="19"/>
        <v>1.8</v>
      </c>
      <c r="H217" s="293">
        <f t="shared" si="20"/>
        <v>900</v>
      </c>
      <c r="P217" s="333">
        <f t="shared" si="21"/>
        <v>7</v>
      </c>
      <c r="Q217" s="334">
        <f t="shared" ref="Q217:Q221" si="24">MATCH(D217,T217:AZ217,0)</f>
        <v>17</v>
      </c>
      <c r="R217" s="359">
        <f t="shared" si="22"/>
        <v>1.8</v>
      </c>
      <c r="S217" s="380">
        <f t="shared" si="23"/>
        <v>0</v>
      </c>
      <c r="T217" s="333" t="str" cm="1">
        <f t="array" ref="T217">IF($C217&lt;&gt;"bitte wählen",INDEX(ListeLebensmittelIFEU,T$189+1,$P217),"")</f>
        <v>Salatgurke mit Plastikfolienverpackung</v>
      </c>
      <c r="U217" s="334" t="str" cm="1">
        <f t="array" ref="U217">IF($C217&lt;&gt;"bitte wählen",INDEX(ListeLebensmittelIFEU,U$189+1,$P217),"")</f>
        <v>Salatgurke, ohne Plastikfolienverpackung</v>
      </c>
      <c r="V217" s="334" t="str" cm="1">
        <f t="array" ref="V217">IF($C217&lt;&gt;"bitte wählen",INDEX(ListeLebensmittelIFEU,V$189+1,$P217),"")</f>
        <v>Salatgurke (Bio), mit Plastikfolienverpackung</v>
      </c>
      <c r="W217" s="334" t="str" cm="1">
        <f t="array" ref="W217">IF($C217&lt;&gt;"bitte wählen",INDEX(ListeLebensmittelIFEU,W$189+1,$P217),"")</f>
        <v>Salatgurke (Bio), ohne Plastikfolienverpackung</v>
      </c>
      <c r="X217" s="334" t="str" cm="1">
        <f t="array" ref="X217">IF($C217&lt;&gt;"bitte wählen",INDEX(ListeLebensmittelIFEU,X$189+1,$P217),"")</f>
        <v>Salatmischung, gewaschen</v>
      </c>
      <c r="Y217" s="334" t="str" cm="1">
        <f t="array" ref="Y217">IF($C217&lt;&gt;"bitte wählen",INDEX(ListeLebensmittelIFEU,Y$189+1,$P217),"")</f>
        <v>Sellerie</v>
      </c>
      <c r="Z217" s="334" t="str" cm="1">
        <f t="array" ref="Z217">IF($C217&lt;&gt;"bitte wählen",INDEX(ListeLebensmittelIFEU,Z$189+1,$P217),"")</f>
        <v>Spargel</v>
      </c>
      <c r="AA217" s="334" t="str" cm="1">
        <f t="array" ref="AA217">IF($C217&lt;&gt;"bitte wählen",INDEX(ListeLebensmittelIFEU,AA$189+1,$P217),"")</f>
        <v>Spinat, frisch</v>
      </c>
      <c r="AB217" s="334" t="str" cm="1">
        <f t="array" ref="AB217">IF($C217&lt;&gt;"bitte wählen",INDEX(ListeLebensmittelIFEU,AB$189+1,$P217),"")</f>
        <v>Spinat, Blattspinat, gefroren</v>
      </c>
      <c r="AC217" s="334" t="str" cm="1">
        <f t="array" ref="AC217">IF($C217&lt;&gt;"bitte wählen",INDEX(ListeLebensmittelIFEU,AC$189+1,$P217),"")</f>
        <v>Tomaten, frisch, Durchschnitt</v>
      </c>
      <c r="AD217" s="334" t="str" cm="1">
        <f t="array" ref="AD217">IF($C217&lt;&gt;"bitte wählen",INDEX(ListeLebensmittelIFEU,AD$189+1,$P217),"")</f>
        <v>Tomaten, aus Deutschland, saisonal</v>
      </c>
      <c r="AE217" s="334" t="str" cm="1">
        <f t="array" ref="AE217">IF($C217&lt;&gt;"bitte wählen",INDEX(ListeLebensmittelIFEU,AE$189+1,$P217),"")</f>
        <v>Tomaten, aus Südeuropa, Freiland</v>
      </c>
      <c r="AF217" s="334" t="str" cm="1">
        <f t="array" ref="AF217">IF($C217&lt;&gt;"bitte wählen",INDEX(ListeLebensmittelIFEU,AF$189+1,$P217),"")</f>
        <v>Tomaten (Bio), frisch</v>
      </c>
      <c r="AG217" s="334" t="str" cm="1">
        <f t="array" ref="AG217">IF($C217&lt;&gt;"bitte wählen",INDEX(ListeLebensmittelIFEU,AG$189+1,$P217),"")</f>
        <v>Tomaten, Kirschtomaten</v>
      </c>
      <c r="AH217" s="334" t="str" cm="1">
        <f t="array" ref="AH217">IF($C217&lt;&gt;"bitte wählen",INDEX(ListeLebensmittelIFEU,AH$189+1,$P217),"")</f>
        <v>Tomaten, aus Deutschland, beheiztes Gewächshaus, „Winter-Tomate“</v>
      </c>
      <c r="AI217" s="334" t="str" cm="1">
        <f t="array" ref="AI217">IF($C217&lt;&gt;"bitte wählen",INDEX(ListeLebensmittelIFEU,AI$189+1,$P217),"")</f>
        <v>Tomaten, passiert, Verbundkarton</v>
      </c>
      <c r="AJ217" s="334" t="str" cm="1">
        <f t="array" ref="AJ217">IF($C217&lt;&gt;"bitte wählen",INDEX(ListeLebensmittelIFEU,AJ$189+1,$P217),"")</f>
        <v>Tomaten, passiert, Dose</v>
      </c>
      <c r="AK217" s="334" t="str" cm="1">
        <f t="array" ref="AK217">IF($C217&lt;&gt;"bitte wählen",INDEX(ListeLebensmittelIFEU,AK$189+1,$P217),"")</f>
        <v>Tomaten, passiert, Glas</v>
      </c>
      <c r="AL217" s="334" t="str" cm="1">
        <f t="array" ref="AL217">IF($C217&lt;&gt;"bitte wählen",INDEX(ListeLebensmittelIFEU,AL$189+1,$P217),"")</f>
        <v>Tomatenmark</v>
      </c>
      <c r="AM217" s="334" t="str" cm="1">
        <f t="array" ref="AM217">IF($C217&lt;&gt;"bitte wählen",INDEX(ListeLebensmittelIFEU,AM$189+1,$P217),"")</f>
        <v>Trauben, frisch, Durchschnitt</v>
      </c>
      <c r="AN217" s="334" t="str" cm="1">
        <f t="array" ref="AN217">IF($C217&lt;&gt;"bitte wählen",INDEX(ListeLebensmittelIFEU,AN$189+1,$P217),"")</f>
        <v>Trauben, frisch, aus Deutschland, saisonal</v>
      </c>
      <c r="AO217" s="334" t="str" cm="1">
        <f t="array" ref="AO217">IF($C217&lt;&gt;"bitte wählen",INDEX(ListeLebensmittelIFEU,AO$189+1,$P217),"")</f>
        <v>Trauben, frisch, aus Italien, saisonal</v>
      </c>
      <c r="AP217" s="334" t="str" cm="1">
        <f t="array" ref="AP217">IF($C217&lt;&gt;"bitte wählen",INDEX(ListeLebensmittelIFEU,AP$189+1,$P217),"")</f>
        <v>Weißkohl</v>
      </c>
      <c r="AQ217" s="334" t="str" cm="1">
        <f t="array" ref="AQ217">IF($C217&lt;&gt;"bitte wählen",INDEX(ListeLebensmittelIFEU,AQ$189+1,$P217),"")</f>
        <v>Zucchini</v>
      </c>
      <c r="AR217" s="334" t="str" cm="1">
        <f t="array" ref="AR217">IF($C217&lt;&gt;"bitte wählen",INDEX(ListeLebensmittelIFEU,AR$189+1,$P217),"")</f>
        <v>Zwiebeln</v>
      </c>
      <c r="AS217" s="334" cm="1">
        <f t="array" ref="AS217">IF($C217&lt;&gt;"bitte wählen",INDEX(ListeLebensmittelIFEU,AS$189+1,$P217),"")</f>
        <v>0</v>
      </c>
      <c r="AT217" s="334" cm="1">
        <f t="array" ref="AT217">IF($C217&lt;&gt;"bitte wählen",INDEX(ListeLebensmittelIFEU,AT$189+1,$P217),"")</f>
        <v>0</v>
      </c>
      <c r="AU217" s="334" cm="1">
        <f t="array" ref="AU217">IF($C217&lt;&gt;"bitte wählen",INDEX(ListeLebensmittelIFEU,AU$189+1,$P217),"")</f>
        <v>0</v>
      </c>
      <c r="AV217" s="334" cm="1">
        <f t="array" ref="AV217">IF($C217&lt;&gt;"bitte wählen",INDEX(ListeLebensmittelIFEU,AV$189+1,$P217),"")</f>
        <v>0</v>
      </c>
      <c r="AW217" s="334" cm="1">
        <f t="array" ref="AW217">IF($C217&lt;&gt;"bitte wählen",INDEX(ListeLebensmittelIFEU,AW$189+1,$P217),"")</f>
        <v>0</v>
      </c>
      <c r="AX217" s="334" cm="1">
        <f t="array" ref="AX217">IF($C217&lt;&gt;"bitte wählen",INDEX(ListeLebensmittelIFEU,AX$189+1,$P217),"")</f>
        <v>0</v>
      </c>
      <c r="AY217" s="334" cm="1">
        <f t="array" ref="AY217">IF($C217&lt;&gt;"bitte wählen",INDEX(ListeLebensmittelIFEU,AY$189+1,$P217),"")</f>
        <v>0</v>
      </c>
      <c r="AZ217" s="335" cm="1">
        <f t="array" ref="AZ217">IF($C217&lt;&gt;"bitte wählen",INDEX(ListeLebensmittelIFEU,AZ$189+1,$P217),"")</f>
        <v>0</v>
      </c>
    </row>
    <row r="218" spans="1:52" x14ac:dyDescent="0.3">
      <c r="B218" t="s">
        <v>328</v>
      </c>
      <c r="C218" s="471" t="s">
        <v>915</v>
      </c>
      <c r="D218" s="472" t="s">
        <v>820</v>
      </c>
      <c r="E218" s="349">
        <v>200</v>
      </c>
      <c r="F218" s="473" t="s">
        <v>114</v>
      </c>
      <c r="G218" s="350">
        <f t="shared" si="19"/>
        <v>0.19</v>
      </c>
      <c r="H218" s="293">
        <f t="shared" si="20"/>
        <v>38</v>
      </c>
      <c r="P218" s="333">
        <f t="shared" si="21"/>
        <v>7</v>
      </c>
      <c r="Q218" s="334">
        <f t="shared" si="24"/>
        <v>25</v>
      </c>
      <c r="R218" s="359">
        <f t="shared" si="22"/>
        <v>0.2</v>
      </c>
      <c r="S218" s="380">
        <f t="shared" si="23"/>
        <v>0</v>
      </c>
      <c r="T218" s="333" t="str" cm="1">
        <f t="array" ref="T218">IF($C218&lt;&gt;"bitte wählen",INDEX(ListeLebensmittelIFEU,T$189+1,$P218),"")</f>
        <v>Salatgurke mit Plastikfolienverpackung</v>
      </c>
      <c r="U218" s="334" t="str" cm="1">
        <f t="array" ref="U218">IF($C218&lt;&gt;"bitte wählen",INDEX(ListeLebensmittelIFEU,U$189+1,$P218),"")</f>
        <v>Salatgurke, ohne Plastikfolienverpackung</v>
      </c>
      <c r="V218" s="334" t="str" cm="1">
        <f t="array" ref="V218">IF($C218&lt;&gt;"bitte wählen",INDEX(ListeLebensmittelIFEU,V$189+1,$P218),"")</f>
        <v>Salatgurke (Bio), mit Plastikfolienverpackung</v>
      </c>
      <c r="W218" s="334" t="str" cm="1">
        <f t="array" ref="W218">IF($C218&lt;&gt;"bitte wählen",INDEX(ListeLebensmittelIFEU,W$189+1,$P218),"")</f>
        <v>Salatgurke (Bio), ohne Plastikfolienverpackung</v>
      </c>
      <c r="X218" s="334" t="str" cm="1">
        <f t="array" ref="X218">IF($C218&lt;&gt;"bitte wählen",INDEX(ListeLebensmittelIFEU,X$189+1,$P218),"")</f>
        <v>Salatmischung, gewaschen</v>
      </c>
      <c r="Y218" s="334" t="str" cm="1">
        <f t="array" ref="Y218">IF($C218&lt;&gt;"bitte wählen",INDEX(ListeLebensmittelIFEU,Y$189+1,$P218),"")</f>
        <v>Sellerie</v>
      </c>
      <c r="Z218" s="334" t="str" cm="1">
        <f t="array" ref="Z218">IF($C218&lt;&gt;"bitte wählen",INDEX(ListeLebensmittelIFEU,Z$189+1,$P218),"")</f>
        <v>Spargel</v>
      </c>
      <c r="AA218" s="334" t="str" cm="1">
        <f t="array" ref="AA218">IF($C218&lt;&gt;"bitte wählen",INDEX(ListeLebensmittelIFEU,AA$189+1,$P218),"")</f>
        <v>Spinat, frisch</v>
      </c>
      <c r="AB218" s="334" t="str" cm="1">
        <f t="array" ref="AB218">IF($C218&lt;&gt;"bitte wählen",INDEX(ListeLebensmittelIFEU,AB$189+1,$P218),"")</f>
        <v>Spinat, Blattspinat, gefroren</v>
      </c>
      <c r="AC218" s="334" t="str" cm="1">
        <f t="array" ref="AC218">IF($C218&lt;&gt;"bitte wählen",INDEX(ListeLebensmittelIFEU,AC$189+1,$P218),"")</f>
        <v>Tomaten, frisch, Durchschnitt</v>
      </c>
      <c r="AD218" s="334" t="str" cm="1">
        <f t="array" ref="AD218">IF($C218&lt;&gt;"bitte wählen",INDEX(ListeLebensmittelIFEU,AD$189+1,$P218),"")</f>
        <v>Tomaten, aus Deutschland, saisonal</v>
      </c>
      <c r="AE218" s="334" t="str" cm="1">
        <f t="array" ref="AE218">IF($C218&lt;&gt;"bitte wählen",INDEX(ListeLebensmittelIFEU,AE$189+1,$P218),"")</f>
        <v>Tomaten, aus Südeuropa, Freiland</v>
      </c>
      <c r="AF218" s="334" t="str" cm="1">
        <f t="array" ref="AF218">IF($C218&lt;&gt;"bitte wählen",INDEX(ListeLebensmittelIFEU,AF$189+1,$P218),"")</f>
        <v>Tomaten (Bio), frisch</v>
      </c>
      <c r="AG218" s="334" t="str" cm="1">
        <f t="array" ref="AG218">IF($C218&lt;&gt;"bitte wählen",INDEX(ListeLebensmittelIFEU,AG$189+1,$P218),"")</f>
        <v>Tomaten, Kirschtomaten</v>
      </c>
      <c r="AH218" s="334" t="str" cm="1">
        <f t="array" ref="AH218">IF($C218&lt;&gt;"bitte wählen",INDEX(ListeLebensmittelIFEU,AH$189+1,$P218),"")</f>
        <v>Tomaten, aus Deutschland, beheiztes Gewächshaus, „Winter-Tomate“</v>
      </c>
      <c r="AI218" s="334" t="str" cm="1">
        <f t="array" ref="AI218">IF($C218&lt;&gt;"bitte wählen",INDEX(ListeLebensmittelIFEU,AI$189+1,$P218),"")</f>
        <v>Tomaten, passiert, Verbundkarton</v>
      </c>
      <c r="AJ218" s="334" t="str" cm="1">
        <f t="array" ref="AJ218">IF($C218&lt;&gt;"bitte wählen",INDEX(ListeLebensmittelIFEU,AJ$189+1,$P218),"")</f>
        <v>Tomaten, passiert, Dose</v>
      </c>
      <c r="AK218" s="334" t="str" cm="1">
        <f t="array" ref="AK218">IF($C218&lt;&gt;"bitte wählen",INDEX(ListeLebensmittelIFEU,AK$189+1,$P218),"")</f>
        <v>Tomaten, passiert, Glas</v>
      </c>
      <c r="AL218" s="334" t="str" cm="1">
        <f t="array" ref="AL218">IF($C218&lt;&gt;"bitte wählen",INDEX(ListeLebensmittelIFEU,AL$189+1,$P218),"")</f>
        <v>Tomatenmark</v>
      </c>
      <c r="AM218" s="334" t="str" cm="1">
        <f t="array" ref="AM218">IF($C218&lt;&gt;"bitte wählen",INDEX(ListeLebensmittelIFEU,AM$189+1,$P218),"")</f>
        <v>Trauben, frisch, Durchschnitt</v>
      </c>
      <c r="AN218" s="334" t="str" cm="1">
        <f t="array" ref="AN218">IF($C218&lt;&gt;"bitte wählen",INDEX(ListeLebensmittelIFEU,AN$189+1,$P218),"")</f>
        <v>Trauben, frisch, aus Deutschland, saisonal</v>
      </c>
      <c r="AO218" s="334" t="str" cm="1">
        <f t="array" ref="AO218">IF($C218&lt;&gt;"bitte wählen",INDEX(ListeLebensmittelIFEU,AO$189+1,$P218),"")</f>
        <v>Trauben, frisch, aus Italien, saisonal</v>
      </c>
      <c r="AP218" s="334" t="str" cm="1">
        <f t="array" ref="AP218">IF($C218&lt;&gt;"bitte wählen",INDEX(ListeLebensmittelIFEU,AP$189+1,$P218),"")</f>
        <v>Weißkohl</v>
      </c>
      <c r="AQ218" s="334" t="str" cm="1">
        <f t="array" ref="AQ218">IF($C218&lt;&gt;"bitte wählen",INDEX(ListeLebensmittelIFEU,AQ$189+1,$P218),"")</f>
        <v>Zucchini</v>
      </c>
      <c r="AR218" s="334" t="str" cm="1">
        <f t="array" ref="AR218">IF($C218&lt;&gt;"bitte wählen",INDEX(ListeLebensmittelIFEU,AR$189+1,$P218),"")</f>
        <v>Zwiebeln</v>
      </c>
      <c r="AS218" s="334" cm="1">
        <f t="array" ref="AS218">IF($C218&lt;&gt;"bitte wählen",INDEX(ListeLebensmittelIFEU,AS$189+1,$P218),"")</f>
        <v>0</v>
      </c>
      <c r="AT218" s="334" cm="1">
        <f t="array" ref="AT218">IF($C218&lt;&gt;"bitte wählen",INDEX(ListeLebensmittelIFEU,AT$189+1,$P218),"")</f>
        <v>0</v>
      </c>
      <c r="AU218" s="334" cm="1">
        <f t="array" ref="AU218">IF($C218&lt;&gt;"bitte wählen",INDEX(ListeLebensmittelIFEU,AU$189+1,$P218),"")</f>
        <v>0</v>
      </c>
      <c r="AV218" s="334" cm="1">
        <f t="array" ref="AV218">IF($C218&lt;&gt;"bitte wählen",INDEX(ListeLebensmittelIFEU,AV$189+1,$P218),"")</f>
        <v>0</v>
      </c>
      <c r="AW218" s="334" cm="1">
        <f t="array" ref="AW218">IF($C218&lt;&gt;"bitte wählen",INDEX(ListeLebensmittelIFEU,AW$189+1,$P218),"")</f>
        <v>0</v>
      </c>
      <c r="AX218" s="334" cm="1">
        <f t="array" ref="AX218">IF($C218&lt;&gt;"bitte wählen",INDEX(ListeLebensmittelIFEU,AX$189+1,$P218),"")</f>
        <v>0</v>
      </c>
      <c r="AY218" s="334" cm="1">
        <f t="array" ref="AY218">IF($C218&lt;&gt;"bitte wählen",INDEX(ListeLebensmittelIFEU,AY$189+1,$P218),"")</f>
        <v>0</v>
      </c>
      <c r="AZ218" s="335" cm="1">
        <f t="array" ref="AZ218">IF($C218&lt;&gt;"bitte wählen",INDEX(ListeLebensmittelIFEU,AZ$189+1,$P218),"")</f>
        <v>0</v>
      </c>
    </row>
    <row r="219" spans="1:52" x14ac:dyDescent="0.3">
      <c r="B219" t="s">
        <v>329</v>
      </c>
      <c r="C219" s="471" t="s">
        <v>911</v>
      </c>
      <c r="D219" s="472" t="s">
        <v>401</v>
      </c>
      <c r="E219" s="349">
        <v>300</v>
      </c>
      <c r="F219" s="473" t="s">
        <v>12</v>
      </c>
      <c r="G219" s="350">
        <f t="shared" si="19"/>
        <v>3.1</v>
      </c>
      <c r="H219" s="293">
        <f t="shared" si="20"/>
        <v>930</v>
      </c>
      <c r="P219" s="333">
        <f t="shared" si="21"/>
        <v>16</v>
      </c>
      <c r="Q219" s="334">
        <f t="shared" si="24"/>
        <v>23</v>
      </c>
      <c r="R219" s="359">
        <f t="shared" si="22"/>
        <v>3.1</v>
      </c>
      <c r="S219" s="380">
        <f t="shared" si="23"/>
        <v>0</v>
      </c>
      <c r="T219" s="333" t="str" cm="1">
        <f t="array" ref="T219">IF($C219&lt;&gt;"bitte wählen",INDEX(ListeLebensmittelIFEU,T$189+1,$P219),"")</f>
        <v>Brot, Mischbrot</v>
      </c>
      <c r="U219" s="334" t="str" cm="1">
        <f t="array" ref="U219">IF($C219&lt;&gt;"bitte wählen",INDEX(ListeLebensmittelIFEU,U$189+1,$P219),"")</f>
        <v>Brot (Bio), Mischbrot</v>
      </c>
      <c r="V219" s="334" t="str" cm="1">
        <f t="array" ref="V219">IF($C219&lt;&gt;"bitte wählen",INDEX(ListeLebensmittelIFEU,V$189+1,$P219),"")</f>
        <v>Brötchen, Weißbrot</v>
      </c>
      <c r="W219" s="334" t="str" cm="1">
        <f t="array" ref="W219">IF($C219&lt;&gt;"bitte wählen",INDEX(ListeLebensmittelIFEU,W$189+1,$P219),"")</f>
        <v>Bulgur</v>
      </c>
      <c r="X219" s="334" t="str" cm="1">
        <f t="array" ref="X219">IF($C219&lt;&gt;"bitte wählen",INDEX(ListeLebensmittelIFEU,X$189+1,$P219),"")</f>
        <v>Dinkel, Reisersatz</v>
      </c>
      <c r="Y219" s="334" t="str" cm="1">
        <f t="array" ref="Y219">IF($C219&lt;&gt;"bitte wählen",INDEX(ListeLebensmittelIFEU,Y$189+1,$P219),"")</f>
        <v>Erdnüsse, in Schale</v>
      </c>
      <c r="Z219" s="334" t="str" cm="1">
        <f t="array" ref="Z219">IF($C219&lt;&gt;"bitte wählen",INDEX(ListeLebensmittelIFEU,Z$189+1,$P219),"")</f>
        <v>Erdnussbutter</v>
      </c>
      <c r="AA219" s="334" t="str" cm="1">
        <f t="array" ref="AA219">IF($C219&lt;&gt;"bitte wählen",INDEX(ListeLebensmittelIFEU,AA$189+1,$P219),"")</f>
        <v>Feinbackwaren</v>
      </c>
      <c r="AB219" s="334" t="str" cm="1">
        <f t="array" ref="AB219">IF($C219&lt;&gt;"bitte wählen",INDEX(ListeLebensmittelIFEU,AB$189+1,$P219),"")</f>
        <v>Gnocchi</v>
      </c>
      <c r="AC219" s="334" t="str" cm="1">
        <f t="array" ref="AC219">IF($C219&lt;&gt;"bitte wählen",INDEX(ListeLebensmittelIFEU,AC$189+1,$P219),"")</f>
        <v>Haferflocken</v>
      </c>
      <c r="AD219" s="334" t="str" cm="1">
        <f t="array" ref="AD219">IF($C219&lt;&gt;"bitte wählen",INDEX(ListeLebensmittelIFEU,AD$189+1,$P219),"")</f>
        <v>Honig, Glas</v>
      </c>
      <c r="AE219" s="334" t="str" cm="1">
        <f t="array" ref="AE219">IF($C219&lt;&gt;"bitte wählen",INDEX(ListeLebensmittelIFEU,AE$189+1,$P219),"")</f>
        <v>Kokosöl</v>
      </c>
      <c r="AF219" s="334" t="str" cm="1">
        <f t="array" ref="AF219">IF($C219&lt;&gt;"bitte wählen",INDEX(ListeLebensmittelIFEU,AF$189+1,$P219),"")</f>
        <v>Margarine, halbfett</v>
      </c>
      <c r="AG219" s="334" t="str" cm="1">
        <f t="array" ref="AG219">IF($C219&lt;&gt;"bitte wählen",INDEX(ListeLebensmittelIFEU,AG$189+1,$P219),"")</f>
        <v>Margarine, vollfett</v>
      </c>
      <c r="AH219" s="334" t="str" cm="1">
        <f t="array" ref="AH219">IF($C219&lt;&gt;"bitte wählen",INDEX(ListeLebensmittelIFEU,AH$189+1,$P219),"")</f>
        <v>Margarine (Bio), vollfett</v>
      </c>
      <c r="AI219" s="334" t="str" cm="1">
        <f t="array" ref="AI219">IF($C219&lt;&gt;"bitte wählen",INDEX(ListeLebensmittelIFEU,AI$189+1,$P219),"")</f>
        <v>Mehl</v>
      </c>
      <c r="AJ219" s="334" t="str" cm="1">
        <f t="array" ref="AJ219">IF($C219&lt;&gt;"bitte wählen",INDEX(ListeLebensmittelIFEU,AJ$189+1,$P219),"")</f>
        <v>Nudeln</v>
      </c>
      <c r="AK219" s="334" t="str" cm="1">
        <f t="array" ref="AK219">IF($C219&lt;&gt;"bitte wählen",INDEX(ListeLebensmittelIFEU,AK$189+1,$P219),"")</f>
        <v>Nudeln (Bio)</v>
      </c>
      <c r="AL219" s="334" t="str" cm="1">
        <f t="array" ref="AL219">IF($C219&lt;&gt;"bitte wählen",INDEX(ListeLebensmittelIFEU,AL$189+1,$P219),"")</f>
        <v>Olivenöl, Glaseinwegflasche</v>
      </c>
      <c r="AM219" s="334" t="str" cm="1">
        <f t="array" ref="AM219">IF($C219&lt;&gt;"bitte wählen",INDEX(ListeLebensmittelIFEU,AM$189+1,$P219),"")</f>
        <v>Palmfett</v>
      </c>
      <c r="AN219" s="334" t="str" cm="1">
        <f t="array" ref="AN219">IF($C219&lt;&gt;"bitte wählen",INDEX(ListeLebensmittelIFEU,AN$189+1,$P219),"")</f>
        <v>Pommes, tiefgekühlt</v>
      </c>
      <c r="AO219" s="334" t="str" cm="1">
        <f t="array" ref="AO219">IF($C219&lt;&gt;"bitte wählen",INDEX(ListeLebensmittelIFEU,AO$189+1,$P219),"")</f>
        <v>Rapsöl, Glaseinwegflasche</v>
      </c>
      <c r="AP219" s="334" t="str" cm="1">
        <f t="array" ref="AP219">IF($C219&lt;&gt;"bitte wählen",INDEX(ListeLebensmittelIFEU,AP$189+1,$P219),"")</f>
        <v>Reis</v>
      </c>
      <c r="AQ219" s="334" t="str" cm="1">
        <f t="array" ref="AQ219">IF($C219&lt;&gt;"bitte wählen",INDEX(ListeLebensmittelIFEU,AQ$189+1,$P219),"")</f>
        <v>Schokolade, Vollmilchschokolade, Tafel, 35 % Kakaogehalt</v>
      </c>
      <c r="AR219" s="334" t="str" cm="1">
        <f t="array" ref="AR219">IF($C219&lt;&gt;"bitte wählen",INDEX(ListeLebensmittelIFEU,AR$189+1,$P219),"")</f>
        <v>Sonnenblumenkerne</v>
      </c>
      <c r="AS219" s="334" t="str" cm="1">
        <f t="array" ref="AS219">IF($C219&lt;&gt;"bitte wählen",INDEX(ListeLebensmittelIFEU,AS$189+1,$P219),"")</f>
        <v>Sonnenblumenöl, Glaseinwegflasche</v>
      </c>
      <c r="AT219" s="334" t="str" cm="1">
        <f t="array" ref="AT219">IF($C219&lt;&gt;"bitte wählen",INDEX(ListeLebensmittelIFEU,AT$189+1,$P219),"")</f>
        <v>Walnüsse, in Schale</v>
      </c>
      <c r="AU219" s="334" t="str" cm="1">
        <f t="array" ref="AU219">IF($C219&lt;&gt;"bitte wählen",INDEX(ListeLebensmittelIFEU,AU$189+1,$P219),"")</f>
        <v>Zucker, Rübenzucker</v>
      </c>
      <c r="AV219" s="334" t="str" cm="1">
        <f t="array" ref="AV219">IF($C219&lt;&gt;"bitte wählen",INDEX(ListeLebensmittelIFEU,AV$189+1,$P219),"")</f>
        <v>Zucker (Bio), Rübenzucker</v>
      </c>
      <c r="AW219" s="334" t="str" cm="1">
        <f t="array" ref="AW219">IF($C219&lt;&gt;"bitte wählen",INDEX(ListeLebensmittelIFEU,AW$189+1,$P219),"")</f>
        <v>Zucker, Rohrzucker</v>
      </c>
      <c r="AX219" s="334" t="str" cm="1">
        <f t="array" ref="AX219">IF($C219&lt;&gt;"bitte wählen",INDEX(ListeLebensmittelIFEU,AX$189+1,$P219),"")</f>
        <v>Zucker (Bio), Rohrzucker</v>
      </c>
      <c r="AY219" s="334" cm="1">
        <f t="array" ref="AY219">IF($C219&lt;&gt;"bitte wählen",INDEX(ListeLebensmittelIFEU,AY$189+1,$P219),"")</f>
        <v>0</v>
      </c>
      <c r="AZ219" s="335" cm="1">
        <f t="array" ref="AZ219">IF($C219&lt;&gt;"bitte wählen",INDEX(ListeLebensmittelIFEU,AZ$189+1,$P219),"")</f>
        <v>0</v>
      </c>
    </row>
    <row r="220" spans="1:52" x14ac:dyDescent="0.3">
      <c r="B220" t="s">
        <v>330</v>
      </c>
      <c r="C220" s="471" t="s">
        <v>989</v>
      </c>
      <c r="D220" s="472" t="s">
        <v>833</v>
      </c>
      <c r="E220" s="349">
        <v>100</v>
      </c>
      <c r="F220" s="473" t="s">
        <v>12</v>
      </c>
      <c r="G220" s="350">
        <f t="shared" si="19"/>
        <v>6</v>
      </c>
      <c r="H220" s="293">
        <f t="shared" si="20"/>
        <v>600</v>
      </c>
      <c r="P220" s="333">
        <f t="shared" si="21"/>
        <v>10</v>
      </c>
      <c r="Q220" s="334">
        <f t="shared" si="24"/>
        <v>13</v>
      </c>
      <c r="R220" s="359">
        <f t="shared" si="22"/>
        <v>6</v>
      </c>
      <c r="S220" s="380">
        <f t="shared" si="23"/>
        <v>1</v>
      </c>
      <c r="T220" s="333" t="str" cm="1">
        <f t="array" ref="T220">IF($C220&lt;&gt;"bitte wählen",INDEX(ListeLebensmittelIFEU,T$189+1,$P220),"")</f>
        <v>Butter</v>
      </c>
      <c r="U220" s="334" t="str" cm="1">
        <f t="array" ref="U220">IF($C220&lt;&gt;"bitte wählen",INDEX(ListeLebensmittelIFEU,U$189+1,$P220),"")</f>
        <v>Butter (Bio)</v>
      </c>
      <c r="V220" s="334" t="str" cm="1">
        <f t="array" ref="V220">IF($C220&lt;&gt;"bitte wählen",INDEX(ListeLebensmittelIFEU,V$189+1,$P220),"")</f>
        <v>Ei</v>
      </c>
      <c r="W220" s="334" t="str" cm="1">
        <f t="array" ref="W220">IF($C220&lt;&gt;"bitte wählen",INDEX(ListeLebensmittelIFEU,W$189+1,$P220),"")</f>
        <v>Joghurt, natur, Kunststoffbecher papierummantelt</v>
      </c>
      <c r="X220" s="334" t="str" cm="1">
        <f t="array" ref="X220">IF($C220&lt;&gt;"bitte wählen",INDEX(ListeLebensmittelIFEU,X$189+1,$P220),"")</f>
        <v>Joghurt, Früchte, Kunststoffbecher papierummantelt</v>
      </c>
      <c r="Y220" s="334" t="str" cm="1">
        <f t="array" ref="Y220">IF($C220&lt;&gt;"bitte wählen",INDEX(ListeLebensmittelIFEU,Y$189+1,$P220),"")</f>
        <v>Joghurt (Bio), natur, Kunststoffbecher papierummantelt</v>
      </c>
      <c r="Z220" s="334" t="str" cm="1">
        <f t="array" ref="Z220">IF($C220&lt;&gt;"bitte wählen",INDEX(ListeLebensmittelIFEU,Z$189+1,$P220),"")</f>
        <v>Joghurt-Ersatz, Soja, Kunststoffbecher papierummantelt</v>
      </c>
      <c r="AA220" s="334" t="str" cm="1">
        <f t="array" ref="AA220">IF($C220&lt;&gt;"bitte wählen",INDEX(ListeLebensmittelIFEU,AA$189+1,$P220),"")</f>
        <v>Käse, Durchschnitt</v>
      </c>
      <c r="AB220" s="334" t="str" cm="1">
        <f t="array" ref="AB220">IF($C220&lt;&gt;"bitte wählen",INDEX(ListeLebensmittelIFEU,AB$189+1,$P220),"")</f>
        <v>Käse (Bio), Durchschnitt</v>
      </c>
      <c r="AC220" s="334" t="str" cm="1">
        <f t="array" ref="AC220">IF($C220&lt;&gt;"bitte wählen",INDEX(ListeLebensmittelIFEU,AC$189+1,$P220),"")</f>
        <v>Käse, Frischkäse</v>
      </c>
      <c r="AD220" s="334" t="str" cm="1">
        <f t="array" ref="AD220">IF($C220&lt;&gt;"bitte wählen",INDEX(ListeLebensmittelIFEU,AD$189+1,$P220),"")</f>
        <v>Käse (Bio), Frischkäse</v>
      </c>
      <c r="AE220" s="334" t="str" cm="1">
        <f t="array" ref="AE220">IF($C220&lt;&gt;"bitte wählen",INDEX(ListeLebensmittelIFEU,AE$189+1,$P220),"")</f>
        <v>Käse, Feta</v>
      </c>
      <c r="AF220" s="334" t="str" cm="1">
        <f t="array" ref="AF220">IF($C220&lt;&gt;"bitte wählen",INDEX(ListeLebensmittelIFEU,AF$189+1,$P220),"")</f>
        <v>Käse, Hartkäse, wie Emmentaler</v>
      </c>
      <c r="AG220" s="334" t="str" cm="1">
        <f t="array" ref="AG220">IF($C220&lt;&gt;"bitte wählen",INDEX(ListeLebensmittelIFEU,AG$189+1,$P220),"")</f>
        <v>Käse, Hartkäse, wie Parmesan</v>
      </c>
      <c r="AH220" s="334" t="str" cm="1">
        <f t="array" ref="AH220">IF($C220&lt;&gt;"bitte wählen",INDEX(ListeLebensmittelIFEU,AH$189+1,$P220),"")</f>
        <v>Käse-Ersatz, vegane Genießerscheiben, auf Basis von Kokosfett</v>
      </c>
      <c r="AI220" s="334" t="str" cm="1">
        <f t="array" ref="AI220">IF($C220&lt;&gt;"bitte wählen",INDEX(ListeLebensmittelIFEU,AI$189+1,$P220),"")</f>
        <v>Milch, ESL, Vollmilch, Verbundkarton</v>
      </c>
      <c r="AJ220" s="334" t="str" cm="1">
        <f t="array" ref="AJ220">IF($C220&lt;&gt;"bitte wählen",INDEX(ListeLebensmittelIFEU,AJ$189+1,$P220),"")</f>
        <v>Milch, ESL, fettarm, Verbundkarton</v>
      </c>
      <c r="AK220" s="334" t="str" cm="1">
        <f t="array" ref="AK220">IF($C220&lt;&gt;"bitte wählen",INDEX(ListeLebensmittelIFEU,AK$189+1,$P220),"")</f>
        <v>Milch, H-Milch, Vollmilch, Verbundkarton</v>
      </c>
      <c r="AL220" s="334" t="str" cm="1">
        <f t="array" ref="AL220">IF($C220&lt;&gt;"bitte wählen",INDEX(ListeLebensmittelIFEU,AL$189+1,$P220),"")</f>
        <v>Milch, H-Milch, fettarm, Verbundkarton</v>
      </c>
      <c r="AM220" s="334" t="str" cm="1">
        <f t="array" ref="AM220">IF($C220&lt;&gt;"bitte wählen",INDEX(ListeLebensmittelIFEU,AM$189+1,$P220),"")</f>
        <v>Milch (Bio), ESL, Vollmilch, Verbundkarton</v>
      </c>
      <c r="AN220" s="334" t="str" cm="1">
        <f t="array" ref="AN220">IF($C220&lt;&gt;"bitte wählen",INDEX(ListeLebensmittelIFEU,AN$189+1,$P220),"")</f>
        <v>Milch-Ersatz, Dinkeldrink</v>
      </c>
      <c r="AO220" s="334" t="str" cm="1">
        <f t="array" ref="AO220">IF($C220&lt;&gt;"bitte wählen",INDEX(ListeLebensmittelIFEU,AO$189+1,$P220),"")</f>
        <v>Milch-Ersatz, Haferdrink</v>
      </c>
      <c r="AP220" s="334" t="str" cm="1">
        <f t="array" ref="AP220">IF($C220&lt;&gt;"bitte wählen",INDEX(ListeLebensmittelIFEU,AP$189+1,$P220),"")</f>
        <v>Milch-Ersatz, Mandeldrink</v>
      </c>
      <c r="AQ220" s="334" t="str" cm="1">
        <f t="array" ref="AQ220">IF($C220&lt;&gt;"bitte wählen",INDEX(ListeLebensmittelIFEU,AQ$189+1,$P220),"")</f>
        <v>Milch-Ersatz, Sojadrink</v>
      </c>
      <c r="AR220" s="334" t="str" cm="1">
        <f t="array" ref="AR220">IF($C220&lt;&gt;"bitte wählen",INDEX(ListeLebensmittelIFEU,AR$189+1,$P220),"")</f>
        <v>Quark, 40 % Fett</v>
      </c>
      <c r="AS220" s="334" t="str" cm="1">
        <f t="array" ref="AS220">IF($C220&lt;&gt;"bitte wählen",INDEX(ListeLebensmittelIFEU,AS$189+1,$P220),"")</f>
        <v>Quark (Bio), 40 % Fett</v>
      </c>
      <c r="AT220" s="334" t="str" cm="1">
        <f t="array" ref="AT220">IF($C220&lt;&gt;"bitte wählen",INDEX(ListeLebensmittelIFEU,AT$189+1,$P220),"")</f>
        <v>Quark, Magerquark, 10 % Fett</v>
      </c>
      <c r="AU220" s="334" t="str" cm="1">
        <f t="array" ref="AU220">IF($C220&lt;&gt;"bitte wählen",INDEX(ListeLebensmittelIFEU,AU$189+1,$P220),"")</f>
        <v>Quark-Ersatz, Soja</v>
      </c>
      <c r="AV220" s="334" t="str" cm="1">
        <f t="array" ref="AV220">IF($C220&lt;&gt;"bitte wählen",INDEX(ListeLebensmittelIFEU,AV$189+1,$P220),"")</f>
        <v>Sahne</v>
      </c>
      <c r="AW220" s="334" t="str" cm="1">
        <f t="array" ref="AW220">IF($C220&lt;&gt;"bitte wählen",INDEX(ListeLebensmittelIFEU,AW$189+1,$P220),"")</f>
        <v>Sahne (Bio)</v>
      </c>
      <c r="AX220" s="334" t="str" cm="1">
        <f t="array" ref="AX220">IF($C220&lt;&gt;"bitte wählen",INDEX(ListeLebensmittelIFEU,AX$189+1,$P220),"")</f>
        <v>Sahne-Ersatz, Hafer Cuisine</v>
      </c>
      <c r="AY220" s="334" t="str" cm="1">
        <f t="array" ref="AY220">IF($C220&lt;&gt;"bitte wählen",INDEX(ListeLebensmittelIFEU,AY$189+1,$P220),"")</f>
        <v>Saure Sahne</v>
      </c>
      <c r="AZ220" s="335" cm="1">
        <f t="array" ref="AZ220">IF($C220&lt;&gt;"bitte wählen",INDEX(ListeLebensmittelIFEU,AZ$189+1,$P220),"")</f>
        <v>0</v>
      </c>
    </row>
    <row r="221" spans="1:52" x14ac:dyDescent="0.3">
      <c r="B221" t="s">
        <v>398</v>
      </c>
      <c r="C221" s="471" t="s">
        <v>27</v>
      </c>
      <c r="D221" s="472"/>
      <c r="E221" s="349"/>
      <c r="F221" s="473" t="s">
        <v>12</v>
      </c>
      <c r="G221" s="350" t="str">
        <f t="shared" si="19"/>
        <v/>
      </c>
      <c r="H221" s="293" t="str">
        <f t="shared" si="20"/>
        <v/>
      </c>
      <c r="P221" s="336">
        <f t="shared" si="21"/>
        <v>22</v>
      </c>
      <c r="Q221" s="337" t="e">
        <f t="shared" si="24"/>
        <v>#N/A</v>
      </c>
      <c r="R221" s="360">
        <f t="shared" si="22"/>
        <v>0</v>
      </c>
      <c r="S221" s="381">
        <f t="shared" si="23"/>
        <v>0</v>
      </c>
      <c r="T221" s="336" t="str" cm="1">
        <f t="array" ref="T221">IF($C221&lt;&gt;"bitte wählen",INDEX(ListeLebensmittelIFEU,T$189+1,$P221),"")</f>
        <v/>
      </c>
      <c r="U221" s="337" t="str" cm="1">
        <f t="array" ref="U221">IF($C221&lt;&gt;"bitte wählen",INDEX(ListeLebensmittelIFEU,U$189+1,$P221),"")</f>
        <v/>
      </c>
      <c r="V221" s="337" t="str" cm="1">
        <f t="array" ref="V221">IF($C221&lt;&gt;"bitte wählen",INDEX(ListeLebensmittelIFEU,V$189+1,$P221),"")</f>
        <v/>
      </c>
      <c r="W221" s="337" t="str" cm="1">
        <f t="array" ref="W221">IF($C221&lt;&gt;"bitte wählen",INDEX(ListeLebensmittelIFEU,W$189+1,$P221),"")</f>
        <v/>
      </c>
      <c r="X221" s="337" t="str" cm="1">
        <f t="array" ref="X221">IF($C221&lt;&gt;"bitte wählen",INDEX(ListeLebensmittelIFEU,X$189+1,$P221),"")</f>
        <v/>
      </c>
      <c r="Y221" s="337" t="str" cm="1">
        <f t="array" ref="Y221">IF($C221&lt;&gt;"bitte wählen",INDEX(ListeLebensmittelIFEU,Y$189+1,$P221),"")</f>
        <v/>
      </c>
      <c r="Z221" s="337" t="str" cm="1">
        <f t="array" ref="Z221">IF($C221&lt;&gt;"bitte wählen",INDEX(ListeLebensmittelIFEU,Z$189+1,$P221),"")</f>
        <v/>
      </c>
      <c r="AA221" s="337" t="str" cm="1">
        <f t="array" ref="AA221">IF($C221&lt;&gt;"bitte wählen",INDEX(ListeLebensmittelIFEU,AA$189+1,$P221),"")</f>
        <v/>
      </c>
      <c r="AB221" s="337" t="str" cm="1">
        <f t="array" ref="AB221">IF($C221&lt;&gt;"bitte wählen",INDEX(ListeLebensmittelIFEU,AB$189+1,$P221),"")</f>
        <v/>
      </c>
      <c r="AC221" s="337" t="str" cm="1">
        <f t="array" ref="AC221">IF($C221&lt;&gt;"bitte wählen",INDEX(ListeLebensmittelIFEU,AC$189+1,$P221),"")</f>
        <v/>
      </c>
      <c r="AD221" s="337" t="str" cm="1">
        <f t="array" ref="AD221">IF($C221&lt;&gt;"bitte wählen",INDEX(ListeLebensmittelIFEU,AD$189+1,$P221),"")</f>
        <v/>
      </c>
      <c r="AE221" s="337" t="str" cm="1">
        <f t="array" ref="AE221">IF($C221&lt;&gt;"bitte wählen",INDEX(ListeLebensmittelIFEU,AE$189+1,$P221),"")</f>
        <v/>
      </c>
      <c r="AF221" s="337" t="str" cm="1">
        <f t="array" ref="AF221">IF($C221&lt;&gt;"bitte wählen",INDEX(ListeLebensmittelIFEU,AF$189+1,$P221),"")</f>
        <v/>
      </c>
      <c r="AG221" s="337" t="str" cm="1">
        <f t="array" ref="AG221">IF($C221&lt;&gt;"bitte wählen",INDEX(ListeLebensmittelIFEU,AG$189+1,$P221),"")</f>
        <v/>
      </c>
      <c r="AH221" s="337" t="str" cm="1">
        <f t="array" ref="AH221">IF($C221&lt;&gt;"bitte wählen",INDEX(ListeLebensmittelIFEU,AH$189+1,$P221),"")</f>
        <v/>
      </c>
      <c r="AI221" s="337" t="str" cm="1">
        <f t="array" ref="AI221">IF($C221&lt;&gt;"bitte wählen",INDEX(ListeLebensmittelIFEU,AI$189+1,$P221),"")</f>
        <v/>
      </c>
      <c r="AJ221" s="337" t="str" cm="1">
        <f t="array" ref="AJ221">IF($C221&lt;&gt;"bitte wählen",INDEX(ListeLebensmittelIFEU,AJ$189+1,$P221),"")</f>
        <v/>
      </c>
      <c r="AK221" s="337" t="str" cm="1">
        <f t="array" ref="AK221">IF($C221&lt;&gt;"bitte wählen",INDEX(ListeLebensmittelIFEU,AK$189+1,$P221),"")</f>
        <v/>
      </c>
      <c r="AL221" s="337" t="str" cm="1">
        <f t="array" ref="AL221">IF($C221&lt;&gt;"bitte wählen",INDEX(ListeLebensmittelIFEU,AL$189+1,$P221),"")</f>
        <v/>
      </c>
      <c r="AM221" s="337" t="str" cm="1">
        <f t="array" ref="AM221">IF($C221&lt;&gt;"bitte wählen",INDEX(ListeLebensmittelIFEU,AM$189+1,$P221),"")</f>
        <v/>
      </c>
      <c r="AN221" s="337" t="str" cm="1">
        <f t="array" ref="AN221">IF($C221&lt;&gt;"bitte wählen",INDEX(ListeLebensmittelIFEU,AN$189+1,$P221),"")</f>
        <v/>
      </c>
      <c r="AO221" s="337" t="str" cm="1">
        <f t="array" ref="AO221">IF($C221&lt;&gt;"bitte wählen",INDEX(ListeLebensmittelIFEU,AO$189+1,$P221),"")</f>
        <v/>
      </c>
      <c r="AP221" s="337" t="str" cm="1">
        <f t="array" ref="AP221">IF($C221&lt;&gt;"bitte wählen",INDEX(ListeLebensmittelIFEU,AP$189+1,$P221),"")</f>
        <v/>
      </c>
      <c r="AQ221" s="337" t="str" cm="1">
        <f t="array" ref="AQ221">IF($C221&lt;&gt;"bitte wählen",INDEX(ListeLebensmittelIFEU,AQ$189+1,$P221),"")</f>
        <v/>
      </c>
      <c r="AR221" s="337" t="str" cm="1">
        <f t="array" ref="AR221">IF($C221&lt;&gt;"bitte wählen",INDEX(ListeLebensmittelIFEU,AR$189+1,$P221),"")</f>
        <v/>
      </c>
      <c r="AS221" s="337" t="str" cm="1">
        <f t="array" ref="AS221">IF($C221&lt;&gt;"bitte wählen",INDEX(ListeLebensmittelIFEU,AS$189+1,$P221),"")</f>
        <v/>
      </c>
      <c r="AT221" s="337" t="str" cm="1">
        <f t="array" ref="AT221">IF($C221&lt;&gt;"bitte wählen",INDEX(ListeLebensmittelIFEU,AT$189+1,$P221),"")</f>
        <v/>
      </c>
      <c r="AU221" s="337" t="str" cm="1">
        <f t="array" ref="AU221">IF($C221&lt;&gt;"bitte wählen",INDEX(ListeLebensmittelIFEU,AU$189+1,$P221),"")</f>
        <v/>
      </c>
      <c r="AV221" s="337" t="str" cm="1">
        <f t="array" ref="AV221">IF($C221&lt;&gt;"bitte wählen",INDEX(ListeLebensmittelIFEU,AV$189+1,$P221),"")</f>
        <v/>
      </c>
      <c r="AW221" s="337" t="str" cm="1">
        <f t="array" ref="AW221">IF($C221&lt;&gt;"bitte wählen",INDEX(ListeLebensmittelIFEU,AW$189+1,$P221),"")</f>
        <v/>
      </c>
      <c r="AX221" s="337" t="str" cm="1">
        <f t="array" ref="AX221">IF($C221&lt;&gt;"bitte wählen",INDEX(ListeLebensmittelIFEU,AX$189+1,$P221),"")</f>
        <v/>
      </c>
      <c r="AY221" s="337" t="str" cm="1">
        <f t="array" ref="AY221">IF($C221&lt;&gt;"bitte wählen",INDEX(ListeLebensmittelIFEU,AY$189+1,$P221),"")</f>
        <v/>
      </c>
      <c r="AZ221" s="338" t="str" cm="1">
        <f t="array" ref="AZ221">IF($C221&lt;&gt;"bitte wählen",INDEX(ListeLebensmittelIFEU,AZ$189+1,$P221),"")</f>
        <v/>
      </c>
    </row>
    <row r="222" spans="1:52" x14ac:dyDescent="0.3">
      <c r="B222" s="105" t="str">
        <f>IF(R222,IF(E222/IF(D214="",1,D214)&lt;GewichtMittagessenMin,"Hinweis: Dies scheint eine relativ kleine Portion zu sein",IF(E222/IF(D214="",1,D214)&gt;GewichtMittagessenMax,"Hinweis: Dies scheint eine relativ große Portion zu sein","")),"")</f>
        <v/>
      </c>
      <c r="C222" s="78"/>
      <c r="D222" s="78"/>
      <c r="E222" s="355">
        <f>SUM(E216:E221)-SUMIF(C216:C221,"Getränke",E216:E221)</f>
        <v>1600</v>
      </c>
      <c r="G222" s="15" t="s">
        <v>622</v>
      </c>
      <c r="H222" s="293">
        <f>SUM(H216:H221)</f>
        <v>3118</v>
      </c>
      <c r="Q222" s="383" t="s">
        <v>1030</v>
      </c>
      <c r="R222" s="386" t="b">
        <f>IF(SUM(R216:R221)&gt;0,TRUE,FALSE)</f>
        <v>1</v>
      </c>
      <c r="S222" s="383">
        <f>SUM(S216:S221)</f>
        <v>1</v>
      </c>
      <c r="T222" s="383" t="s">
        <v>1029</v>
      </c>
      <c r="U222" s="383">
        <f>IF(R222,IF(S222&gt;9,10,IF(S222&gt;0,1,0)),"")</f>
        <v>1</v>
      </c>
    </row>
    <row r="223" spans="1:52" x14ac:dyDescent="0.3">
      <c r="B223" s="385" t="str">
        <f>IF(U222=0,"🌱 vegan","")</f>
        <v/>
      </c>
      <c r="C223" s="105" t="str">
        <f>IF(U222=1,"Ⓥ vegetarisch","")</f>
        <v>Ⓥ vegetarisch</v>
      </c>
      <c r="D223" s="384" t="str">
        <f>IF(U222=10,"🥩 mit Fleisch/Fisch","")</f>
        <v/>
      </c>
      <c r="E223" s="78"/>
      <c r="G223" s="15" t="s">
        <v>623</v>
      </c>
      <c r="H223" s="294">
        <f>IF(D214="",H222,H222/D214)</f>
        <v>779.5</v>
      </c>
    </row>
    <row r="224" spans="1:52" x14ac:dyDescent="0.3">
      <c r="T224" s="84"/>
    </row>
    <row r="225" spans="1:52" ht="18" thickBot="1" x14ac:dyDescent="0.4">
      <c r="B225" s="496" t="str">
        <f>"CO₂-Bilanz Gericht 4: "&amp;D226</f>
        <v>CO₂-Bilanz Gericht 4: Menü 4</v>
      </c>
      <c r="C225" s="496"/>
      <c r="D225" s="496"/>
      <c r="E225" s="496"/>
      <c r="T225" s="84"/>
    </row>
    <row r="226" spans="1:52" ht="15" thickTop="1" x14ac:dyDescent="0.3">
      <c r="B226" t="s">
        <v>994</v>
      </c>
      <c r="D226" s="288" t="s">
        <v>996</v>
      </c>
      <c r="F226" s="78"/>
      <c r="G226" s="78"/>
      <c r="H226" s="78"/>
      <c r="I226" s="78"/>
    </row>
    <row r="227" spans="1:52" x14ac:dyDescent="0.3">
      <c r="B227" t="s">
        <v>995</v>
      </c>
      <c r="C227" s="78"/>
      <c r="D227" s="291">
        <v>1</v>
      </c>
      <c r="E227" s="301" t="str">
        <f>IF(ISNUMBER(FIND("g",_xlfn.CONCAT(E229:E234))),"Bitte Menge als reine Zahl ohne Zusatz g eingeben","")</f>
        <v/>
      </c>
      <c r="G227" s="78"/>
      <c r="H227" s="78"/>
      <c r="T227" s="329" t="s">
        <v>918</v>
      </c>
      <c r="U227" s="330"/>
      <c r="V227" s="330"/>
      <c r="W227" s="330"/>
      <c r="X227" s="330"/>
      <c r="Y227" s="330"/>
    </row>
    <row r="228" spans="1:52" ht="44.4" x14ac:dyDescent="0.35">
      <c r="A228" s="376" t="s">
        <v>1217</v>
      </c>
      <c r="C228" s="297" t="s">
        <v>993</v>
      </c>
      <c r="D228" s="313" t="s">
        <v>992</v>
      </c>
      <c r="E228" s="298" t="s">
        <v>323</v>
      </c>
      <c r="F228" s="298" t="s">
        <v>324</v>
      </c>
      <c r="G228" s="296" t="s">
        <v>534</v>
      </c>
      <c r="H228" s="296" t="s">
        <v>535</v>
      </c>
      <c r="P228" s="356" t="s">
        <v>956</v>
      </c>
      <c r="Q228" s="356" t="s">
        <v>957</v>
      </c>
      <c r="R228" s="357" t="s">
        <v>958</v>
      </c>
      <c r="S228" s="357" t="s">
        <v>1028</v>
      </c>
      <c r="T228" s="361">
        <v>1</v>
      </c>
      <c r="U228" s="362">
        <v>2</v>
      </c>
      <c r="V228" s="362">
        <v>3</v>
      </c>
      <c r="W228" s="362">
        <v>4</v>
      </c>
      <c r="X228" s="362">
        <v>5</v>
      </c>
      <c r="Y228" s="362">
        <v>6</v>
      </c>
      <c r="Z228" s="362">
        <v>7</v>
      </c>
      <c r="AA228" s="362">
        <v>8</v>
      </c>
      <c r="AB228" s="362">
        <v>9</v>
      </c>
      <c r="AC228" s="362">
        <v>10</v>
      </c>
      <c r="AD228" s="362">
        <v>11</v>
      </c>
      <c r="AE228" s="362">
        <v>12</v>
      </c>
      <c r="AF228" s="362">
        <v>13</v>
      </c>
      <c r="AG228" s="362">
        <v>14</v>
      </c>
      <c r="AH228" s="362">
        <v>15</v>
      </c>
      <c r="AI228" s="362">
        <v>16</v>
      </c>
      <c r="AJ228" s="362">
        <v>17</v>
      </c>
      <c r="AK228" s="362">
        <v>18</v>
      </c>
      <c r="AL228" s="362">
        <v>19</v>
      </c>
      <c r="AM228" s="362">
        <v>20</v>
      </c>
      <c r="AN228" s="362">
        <v>21</v>
      </c>
      <c r="AO228" s="362">
        <v>22</v>
      </c>
      <c r="AP228" s="362">
        <v>23</v>
      </c>
      <c r="AQ228" s="362">
        <v>24</v>
      </c>
      <c r="AR228" s="362">
        <v>25</v>
      </c>
      <c r="AS228" s="362">
        <v>26</v>
      </c>
      <c r="AT228" s="362">
        <v>27</v>
      </c>
      <c r="AU228" s="362">
        <v>28</v>
      </c>
      <c r="AV228" s="362">
        <v>29</v>
      </c>
      <c r="AW228" s="362">
        <v>30</v>
      </c>
      <c r="AX228" s="362">
        <v>31</v>
      </c>
      <c r="AY228" s="362">
        <v>32</v>
      </c>
      <c r="AZ228" s="363">
        <v>33</v>
      </c>
    </row>
    <row r="229" spans="1:52" x14ac:dyDescent="0.3">
      <c r="B229" t="s">
        <v>13</v>
      </c>
      <c r="C229" s="471" t="s">
        <v>27</v>
      </c>
      <c r="D229" s="472"/>
      <c r="E229" s="470"/>
      <c r="F229" s="473" t="s">
        <v>12</v>
      </c>
      <c r="G229" s="350" t="str">
        <f t="shared" ref="G229:G234" si="25">IF(D229="","",R229*IF(F229="Ja",FaktorBeiLokalemProdukt,1))</f>
        <v/>
      </c>
      <c r="H229" s="293" t="str">
        <f t="shared" ref="H229:H234" si="26">IF(D229="","",E229*G229)</f>
        <v/>
      </c>
      <c r="P229" s="331">
        <f t="shared" ref="P229:P234" si="27">VLOOKUP(C229,$C$457:$D$464,2,FALSE)</f>
        <v>22</v>
      </c>
      <c r="Q229" s="332" t="e">
        <f>MATCH(D229,T229:AZ229,0)</f>
        <v>#N/A</v>
      </c>
      <c r="R229" s="358">
        <f t="shared" ref="R229:R234" si="28">_xlfn.IFNA(IF(D229&lt;&gt;"",VLOOKUP(D229,$C$544:$E$774,2,FALSE),0),0)</f>
        <v>0</v>
      </c>
      <c r="S229" s="358">
        <f t="shared" ref="S229:S234" si="29">_xlfn.IFNA(IF(D229&lt;&gt;"",VLOOKUP(D229,$C$544:$E$774,3,FALSE),0),0)</f>
        <v>0</v>
      </c>
      <c r="T229" s="333" t="str" cm="1">
        <f t="array" ref="T229">IF($C229&lt;&gt;"bitte wählen",INDEX(ListeLebensmittelIFEU,T$189+1,$P229),"")</f>
        <v/>
      </c>
      <c r="U229" s="334" t="str" cm="1">
        <f t="array" ref="U229">IF($C229&lt;&gt;"bitte wählen",INDEX(ListeLebensmittelIFEU,U$189+1,$P229),"")</f>
        <v/>
      </c>
      <c r="V229" s="334" t="str" cm="1">
        <f t="array" ref="V229">IF($C229&lt;&gt;"bitte wählen",INDEX(ListeLebensmittelIFEU,V$189+1,$P229),"")</f>
        <v/>
      </c>
      <c r="W229" s="334" t="str" cm="1">
        <f t="array" ref="W229">IF($C229&lt;&gt;"bitte wählen",INDEX(ListeLebensmittelIFEU,W$189+1,$P229),"")</f>
        <v/>
      </c>
      <c r="X229" s="334" t="str" cm="1">
        <f t="array" ref="X229">IF($C229&lt;&gt;"bitte wählen",INDEX(ListeLebensmittelIFEU,X$189+1,$P229),"")</f>
        <v/>
      </c>
      <c r="Y229" s="334" t="str" cm="1">
        <f t="array" ref="Y229">IF($C229&lt;&gt;"bitte wählen",INDEX(ListeLebensmittelIFEU,Y$189+1,$P229),"")</f>
        <v/>
      </c>
      <c r="Z229" s="334" t="str" cm="1">
        <f t="array" ref="Z229">IF($C229&lt;&gt;"bitte wählen",INDEX(ListeLebensmittelIFEU,Z$189+1,$P229),"")</f>
        <v/>
      </c>
      <c r="AA229" s="334" t="str" cm="1">
        <f t="array" ref="AA229">IF($C229&lt;&gt;"bitte wählen",INDEX(ListeLebensmittelIFEU,AA$189+1,$P229),"")</f>
        <v/>
      </c>
      <c r="AB229" s="334" t="str" cm="1">
        <f t="array" ref="AB229">IF($C229&lt;&gt;"bitte wählen",INDEX(ListeLebensmittelIFEU,AB$189+1,$P229),"")</f>
        <v/>
      </c>
      <c r="AC229" s="334" t="str" cm="1">
        <f t="array" ref="AC229">IF($C229&lt;&gt;"bitte wählen",INDEX(ListeLebensmittelIFEU,AC$189+1,$P229),"")</f>
        <v/>
      </c>
      <c r="AD229" s="334" t="str" cm="1">
        <f t="array" ref="AD229">IF($C229&lt;&gt;"bitte wählen",INDEX(ListeLebensmittelIFEU,AD$189+1,$P229),"")</f>
        <v/>
      </c>
      <c r="AE229" s="334" t="str" cm="1">
        <f t="array" ref="AE229">IF($C229&lt;&gt;"bitte wählen",INDEX(ListeLebensmittelIFEU,AE$189+1,$P229),"")</f>
        <v/>
      </c>
      <c r="AF229" s="334" t="str" cm="1">
        <f t="array" ref="AF229">IF($C229&lt;&gt;"bitte wählen",INDEX(ListeLebensmittelIFEU,AF$189+1,$P229),"")</f>
        <v/>
      </c>
      <c r="AG229" s="334" t="str" cm="1">
        <f t="array" ref="AG229">IF($C229&lt;&gt;"bitte wählen",INDEX(ListeLebensmittelIFEU,AG$189+1,$P229),"")</f>
        <v/>
      </c>
      <c r="AH229" s="334" t="str" cm="1">
        <f t="array" ref="AH229">IF($C229&lt;&gt;"bitte wählen",INDEX(ListeLebensmittelIFEU,AH$189+1,$P229),"")</f>
        <v/>
      </c>
      <c r="AI229" s="334" t="str" cm="1">
        <f t="array" ref="AI229">IF($C229&lt;&gt;"bitte wählen",INDEX(ListeLebensmittelIFEU,AI$189+1,$P229),"")</f>
        <v/>
      </c>
      <c r="AJ229" s="334" t="str" cm="1">
        <f t="array" ref="AJ229">IF($C229&lt;&gt;"bitte wählen",INDEX(ListeLebensmittelIFEU,AJ$189+1,$P229),"")</f>
        <v/>
      </c>
      <c r="AK229" s="334" t="str" cm="1">
        <f t="array" ref="AK229">IF($C229&lt;&gt;"bitte wählen",INDEX(ListeLebensmittelIFEU,AK$189+1,$P229),"")</f>
        <v/>
      </c>
      <c r="AL229" s="334" t="str" cm="1">
        <f t="array" ref="AL229">IF($C229&lt;&gt;"bitte wählen",INDEX(ListeLebensmittelIFEU,AL$189+1,$P229),"")</f>
        <v/>
      </c>
      <c r="AM229" s="334" t="str" cm="1">
        <f t="array" ref="AM229">IF($C229&lt;&gt;"bitte wählen",INDEX(ListeLebensmittelIFEU,AM$189+1,$P229),"")</f>
        <v/>
      </c>
      <c r="AN229" s="334" t="str" cm="1">
        <f t="array" ref="AN229">IF($C229&lt;&gt;"bitte wählen",INDEX(ListeLebensmittelIFEU,AN$189+1,$P229),"")</f>
        <v/>
      </c>
      <c r="AO229" s="334" t="str" cm="1">
        <f t="array" ref="AO229">IF($C229&lt;&gt;"bitte wählen",INDEX(ListeLebensmittelIFEU,AO$189+1,$P229),"")</f>
        <v/>
      </c>
      <c r="AP229" s="334" t="str" cm="1">
        <f t="array" ref="AP229">IF($C229&lt;&gt;"bitte wählen",INDEX(ListeLebensmittelIFEU,AP$189+1,$P229),"")</f>
        <v/>
      </c>
      <c r="AQ229" s="334" t="str" cm="1">
        <f t="array" ref="AQ229">IF($C229&lt;&gt;"bitte wählen",INDEX(ListeLebensmittelIFEU,AQ$189+1,$P229),"")</f>
        <v/>
      </c>
      <c r="AR229" s="334" t="str" cm="1">
        <f t="array" ref="AR229">IF($C229&lt;&gt;"bitte wählen",INDEX(ListeLebensmittelIFEU,AR$189+1,$P229),"")</f>
        <v/>
      </c>
      <c r="AS229" s="334" t="str" cm="1">
        <f t="array" ref="AS229">IF($C229&lt;&gt;"bitte wählen",INDEX(ListeLebensmittelIFEU,AS$189+1,$P229),"")</f>
        <v/>
      </c>
      <c r="AT229" s="334" t="str" cm="1">
        <f t="array" ref="AT229">IF($C229&lt;&gt;"bitte wählen",INDEX(ListeLebensmittelIFEU,AT$189+1,$P229),"")</f>
        <v/>
      </c>
      <c r="AU229" s="334" t="str" cm="1">
        <f t="array" ref="AU229">IF($C229&lt;&gt;"bitte wählen",INDEX(ListeLebensmittelIFEU,AU$189+1,$P229),"")</f>
        <v/>
      </c>
      <c r="AV229" s="334" t="str" cm="1">
        <f t="array" ref="AV229">IF($C229&lt;&gt;"bitte wählen",INDEX(ListeLebensmittelIFEU,AV$189+1,$P229),"")</f>
        <v/>
      </c>
      <c r="AW229" s="334" t="str" cm="1">
        <f t="array" ref="AW229">IF($C229&lt;&gt;"bitte wählen",INDEX(ListeLebensmittelIFEU,AW$189+1,$P229),"")</f>
        <v/>
      </c>
      <c r="AX229" s="334" t="str" cm="1">
        <f t="array" ref="AX229">IF($C229&lt;&gt;"bitte wählen",INDEX(ListeLebensmittelIFEU,AX$189+1,$P229),"")</f>
        <v/>
      </c>
      <c r="AY229" s="334" t="str" cm="1">
        <f t="array" ref="AY229">IF($C229&lt;&gt;"bitte wählen",INDEX(ListeLebensmittelIFEU,AY$189+1,$P229),"")</f>
        <v/>
      </c>
      <c r="AZ229" s="335" t="str" cm="1">
        <f t="array" ref="AZ229">IF($C229&lt;&gt;"bitte wählen",INDEX(ListeLebensmittelIFEU,AZ$189+1,$P229),"")</f>
        <v/>
      </c>
    </row>
    <row r="230" spans="1:52" x14ac:dyDescent="0.3">
      <c r="B230" t="s">
        <v>327</v>
      </c>
      <c r="C230" s="471" t="s">
        <v>27</v>
      </c>
      <c r="D230" s="472"/>
      <c r="E230" s="349"/>
      <c r="F230" s="473" t="s">
        <v>12</v>
      </c>
      <c r="G230" s="350" t="str">
        <f t="shared" si="25"/>
        <v/>
      </c>
      <c r="H230" s="293" t="str">
        <f t="shared" si="26"/>
        <v/>
      </c>
      <c r="P230" s="333">
        <f t="shared" si="27"/>
        <v>22</v>
      </c>
      <c r="Q230" s="334" t="e">
        <f t="shared" ref="Q230:Q234" si="30">MATCH(D230,T230:AZ230,0)</f>
        <v>#N/A</v>
      </c>
      <c r="R230" s="359">
        <f t="shared" si="28"/>
        <v>0</v>
      </c>
      <c r="S230" s="380">
        <f t="shared" si="29"/>
        <v>0</v>
      </c>
      <c r="T230" s="333" t="str" cm="1">
        <f t="array" ref="T230">IF($C230&lt;&gt;"bitte wählen",INDEX(ListeLebensmittelIFEU,T$189+1,$P230),"")</f>
        <v/>
      </c>
      <c r="U230" s="334" t="str" cm="1">
        <f t="array" ref="U230">IF($C230&lt;&gt;"bitte wählen",INDEX(ListeLebensmittelIFEU,U$189+1,$P230),"")</f>
        <v/>
      </c>
      <c r="V230" s="334" t="str" cm="1">
        <f t="array" ref="V230">IF($C230&lt;&gt;"bitte wählen",INDEX(ListeLebensmittelIFEU,V$189+1,$P230),"")</f>
        <v/>
      </c>
      <c r="W230" s="334" t="str" cm="1">
        <f t="array" ref="W230">IF($C230&lt;&gt;"bitte wählen",INDEX(ListeLebensmittelIFEU,W$189+1,$P230),"")</f>
        <v/>
      </c>
      <c r="X230" s="334" t="str" cm="1">
        <f t="array" ref="X230">IF($C230&lt;&gt;"bitte wählen",INDEX(ListeLebensmittelIFEU,X$189+1,$P230),"")</f>
        <v/>
      </c>
      <c r="Y230" s="334" t="str" cm="1">
        <f t="array" ref="Y230">IF($C230&lt;&gt;"bitte wählen",INDEX(ListeLebensmittelIFEU,Y$189+1,$P230),"")</f>
        <v/>
      </c>
      <c r="Z230" s="334" t="str" cm="1">
        <f t="array" ref="Z230">IF($C230&lt;&gt;"bitte wählen",INDEX(ListeLebensmittelIFEU,Z$189+1,$P230),"")</f>
        <v/>
      </c>
      <c r="AA230" s="334" t="str" cm="1">
        <f t="array" ref="AA230">IF($C230&lt;&gt;"bitte wählen",INDEX(ListeLebensmittelIFEU,AA$189+1,$P230),"")</f>
        <v/>
      </c>
      <c r="AB230" s="334" t="str" cm="1">
        <f t="array" ref="AB230">IF($C230&lt;&gt;"bitte wählen",INDEX(ListeLebensmittelIFEU,AB$189+1,$P230),"")</f>
        <v/>
      </c>
      <c r="AC230" s="334" t="str" cm="1">
        <f t="array" ref="AC230">IF($C230&lt;&gt;"bitte wählen",INDEX(ListeLebensmittelIFEU,AC$189+1,$P230),"")</f>
        <v/>
      </c>
      <c r="AD230" s="334" t="str" cm="1">
        <f t="array" ref="AD230">IF($C230&lt;&gt;"bitte wählen",INDEX(ListeLebensmittelIFEU,AD$189+1,$P230),"")</f>
        <v/>
      </c>
      <c r="AE230" s="334" t="str" cm="1">
        <f t="array" ref="AE230">IF($C230&lt;&gt;"bitte wählen",INDEX(ListeLebensmittelIFEU,AE$189+1,$P230),"")</f>
        <v/>
      </c>
      <c r="AF230" s="334" t="str" cm="1">
        <f t="array" ref="AF230">IF($C230&lt;&gt;"bitte wählen",INDEX(ListeLebensmittelIFEU,AF$189+1,$P230),"")</f>
        <v/>
      </c>
      <c r="AG230" s="334" t="str" cm="1">
        <f t="array" ref="AG230">IF($C230&lt;&gt;"bitte wählen",INDEX(ListeLebensmittelIFEU,AG$189+1,$P230),"")</f>
        <v/>
      </c>
      <c r="AH230" s="334" t="str" cm="1">
        <f t="array" ref="AH230">IF($C230&lt;&gt;"bitte wählen",INDEX(ListeLebensmittelIFEU,AH$189+1,$P230),"")</f>
        <v/>
      </c>
      <c r="AI230" s="334" t="str" cm="1">
        <f t="array" ref="AI230">IF($C230&lt;&gt;"bitte wählen",INDEX(ListeLebensmittelIFEU,AI$189+1,$P230),"")</f>
        <v/>
      </c>
      <c r="AJ230" s="334" t="str" cm="1">
        <f t="array" ref="AJ230">IF($C230&lt;&gt;"bitte wählen",INDEX(ListeLebensmittelIFEU,AJ$189+1,$P230),"")</f>
        <v/>
      </c>
      <c r="AK230" s="334" t="str" cm="1">
        <f t="array" ref="AK230">IF($C230&lt;&gt;"bitte wählen",INDEX(ListeLebensmittelIFEU,AK$189+1,$P230),"")</f>
        <v/>
      </c>
      <c r="AL230" s="334" t="str" cm="1">
        <f t="array" ref="AL230">IF($C230&lt;&gt;"bitte wählen",INDEX(ListeLebensmittelIFEU,AL$189+1,$P230),"")</f>
        <v/>
      </c>
      <c r="AM230" s="334" t="str" cm="1">
        <f t="array" ref="AM230">IF($C230&lt;&gt;"bitte wählen",INDEX(ListeLebensmittelIFEU,AM$189+1,$P230),"")</f>
        <v/>
      </c>
      <c r="AN230" s="334" t="str" cm="1">
        <f t="array" ref="AN230">IF($C230&lt;&gt;"bitte wählen",INDEX(ListeLebensmittelIFEU,AN$189+1,$P230),"")</f>
        <v/>
      </c>
      <c r="AO230" s="334" t="str" cm="1">
        <f t="array" ref="AO230">IF($C230&lt;&gt;"bitte wählen",INDEX(ListeLebensmittelIFEU,AO$189+1,$P230),"")</f>
        <v/>
      </c>
      <c r="AP230" s="334" t="str" cm="1">
        <f t="array" ref="AP230">IF($C230&lt;&gt;"bitte wählen",INDEX(ListeLebensmittelIFEU,AP$189+1,$P230),"")</f>
        <v/>
      </c>
      <c r="AQ230" s="334" t="str" cm="1">
        <f t="array" ref="AQ230">IF($C230&lt;&gt;"bitte wählen",INDEX(ListeLebensmittelIFEU,AQ$189+1,$P230),"")</f>
        <v/>
      </c>
      <c r="AR230" s="334" t="str" cm="1">
        <f t="array" ref="AR230">IF($C230&lt;&gt;"bitte wählen",INDEX(ListeLebensmittelIFEU,AR$189+1,$P230),"")</f>
        <v/>
      </c>
      <c r="AS230" s="334" t="str" cm="1">
        <f t="array" ref="AS230">IF($C230&lt;&gt;"bitte wählen",INDEX(ListeLebensmittelIFEU,AS$189+1,$P230),"")</f>
        <v/>
      </c>
      <c r="AT230" s="334" t="str" cm="1">
        <f t="array" ref="AT230">IF($C230&lt;&gt;"bitte wählen",INDEX(ListeLebensmittelIFEU,AT$189+1,$P230),"")</f>
        <v/>
      </c>
      <c r="AU230" s="334" t="str" cm="1">
        <f t="array" ref="AU230">IF($C230&lt;&gt;"bitte wählen",INDEX(ListeLebensmittelIFEU,AU$189+1,$P230),"")</f>
        <v/>
      </c>
      <c r="AV230" s="334" t="str" cm="1">
        <f t="array" ref="AV230">IF($C230&lt;&gt;"bitte wählen",INDEX(ListeLebensmittelIFEU,AV$189+1,$P230),"")</f>
        <v/>
      </c>
      <c r="AW230" s="334" t="str" cm="1">
        <f t="array" ref="AW230">IF($C230&lt;&gt;"bitte wählen",INDEX(ListeLebensmittelIFEU,AW$189+1,$P230),"")</f>
        <v/>
      </c>
      <c r="AX230" s="334" t="str" cm="1">
        <f t="array" ref="AX230">IF($C230&lt;&gt;"bitte wählen",INDEX(ListeLebensmittelIFEU,AX$189+1,$P230),"")</f>
        <v/>
      </c>
      <c r="AY230" s="334" t="str" cm="1">
        <f t="array" ref="AY230">IF($C230&lt;&gt;"bitte wählen",INDEX(ListeLebensmittelIFEU,AY$189+1,$P230),"")</f>
        <v/>
      </c>
      <c r="AZ230" s="335" t="str" cm="1">
        <f t="array" ref="AZ230">IF($C230&lt;&gt;"bitte wählen",INDEX(ListeLebensmittelIFEU,AZ$189+1,$P230),"")</f>
        <v/>
      </c>
    </row>
    <row r="231" spans="1:52" x14ac:dyDescent="0.3">
      <c r="B231" t="s">
        <v>328</v>
      </c>
      <c r="C231" s="471" t="s">
        <v>27</v>
      </c>
      <c r="D231" s="472"/>
      <c r="E231" s="349"/>
      <c r="F231" s="473" t="s">
        <v>12</v>
      </c>
      <c r="G231" s="350" t="str">
        <f t="shared" si="25"/>
        <v/>
      </c>
      <c r="H231" s="293" t="str">
        <f t="shared" si="26"/>
        <v/>
      </c>
      <c r="P231" s="333">
        <f t="shared" si="27"/>
        <v>22</v>
      </c>
      <c r="Q231" s="334" t="e">
        <f t="shared" si="30"/>
        <v>#N/A</v>
      </c>
      <c r="R231" s="359">
        <f t="shared" si="28"/>
        <v>0</v>
      </c>
      <c r="S231" s="380">
        <f t="shared" si="29"/>
        <v>0</v>
      </c>
      <c r="T231" s="333" t="str" cm="1">
        <f t="array" ref="T231">IF($C231&lt;&gt;"bitte wählen",INDEX(ListeLebensmittelIFEU,T$189+1,$P231),"")</f>
        <v/>
      </c>
      <c r="U231" s="334" t="str" cm="1">
        <f t="array" ref="U231">IF($C231&lt;&gt;"bitte wählen",INDEX(ListeLebensmittelIFEU,U$189+1,$P231),"")</f>
        <v/>
      </c>
      <c r="V231" s="334" t="str" cm="1">
        <f t="array" ref="V231">IF($C231&lt;&gt;"bitte wählen",INDEX(ListeLebensmittelIFEU,V$189+1,$P231),"")</f>
        <v/>
      </c>
      <c r="W231" s="334" t="str" cm="1">
        <f t="array" ref="W231">IF($C231&lt;&gt;"bitte wählen",INDEX(ListeLebensmittelIFEU,W$189+1,$P231),"")</f>
        <v/>
      </c>
      <c r="X231" s="334" t="str" cm="1">
        <f t="array" ref="X231">IF($C231&lt;&gt;"bitte wählen",INDEX(ListeLebensmittelIFEU,X$189+1,$P231),"")</f>
        <v/>
      </c>
      <c r="Y231" s="334" t="str" cm="1">
        <f t="array" ref="Y231">IF($C231&lt;&gt;"bitte wählen",INDEX(ListeLebensmittelIFEU,Y$189+1,$P231),"")</f>
        <v/>
      </c>
      <c r="Z231" s="334" t="str" cm="1">
        <f t="array" ref="Z231">IF($C231&lt;&gt;"bitte wählen",INDEX(ListeLebensmittelIFEU,Z$189+1,$P231),"")</f>
        <v/>
      </c>
      <c r="AA231" s="334" t="str" cm="1">
        <f t="array" ref="AA231">IF($C231&lt;&gt;"bitte wählen",INDEX(ListeLebensmittelIFEU,AA$189+1,$P231),"")</f>
        <v/>
      </c>
      <c r="AB231" s="334" t="str" cm="1">
        <f t="array" ref="AB231">IF($C231&lt;&gt;"bitte wählen",INDEX(ListeLebensmittelIFEU,AB$189+1,$P231),"")</f>
        <v/>
      </c>
      <c r="AC231" s="334" t="str" cm="1">
        <f t="array" ref="AC231">IF($C231&lt;&gt;"bitte wählen",INDEX(ListeLebensmittelIFEU,AC$189+1,$P231),"")</f>
        <v/>
      </c>
      <c r="AD231" s="334" t="str" cm="1">
        <f t="array" ref="AD231">IF($C231&lt;&gt;"bitte wählen",INDEX(ListeLebensmittelIFEU,AD$189+1,$P231),"")</f>
        <v/>
      </c>
      <c r="AE231" s="334" t="str" cm="1">
        <f t="array" ref="AE231">IF($C231&lt;&gt;"bitte wählen",INDEX(ListeLebensmittelIFEU,AE$189+1,$P231),"")</f>
        <v/>
      </c>
      <c r="AF231" s="334" t="str" cm="1">
        <f t="array" ref="AF231">IF($C231&lt;&gt;"bitte wählen",INDEX(ListeLebensmittelIFEU,AF$189+1,$P231),"")</f>
        <v/>
      </c>
      <c r="AG231" s="334" t="str" cm="1">
        <f t="array" ref="AG231">IF($C231&lt;&gt;"bitte wählen",INDEX(ListeLebensmittelIFEU,AG$189+1,$P231),"")</f>
        <v/>
      </c>
      <c r="AH231" s="334" t="str" cm="1">
        <f t="array" ref="AH231">IF($C231&lt;&gt;"bitte wählen",INDEX(ListeLebensmittelIFEU,AH$189+1,$P231),"")</f>
        <v/>
      </c>
      <c r="AI231" s="334" t="str" cm="1">
        <f t="array" ref="AI231">IF($C231&lt;&gt;"bitte wählen",INDEX(ListeLebensmittelIFEU,AI$189+1,$P231),"")</f>
        <v/>
      </c>
      <c r="AJ231" s="334" t="str" cm="1">
        <f t="array" ref="AJ231">IF($C231&lt;&gt;"bitte wählen",INDEX(ListeLebensmittelIFEU,AJ$189+1,$P231),"")</f>
        <v/>
      </c>
      <c r="AK231" s="334" t="str" cm="1">
        <f t="array" ref="AK231">IF($C231&lt;&gt;"bitte wählen",INDEX(ListeLebensmittelIFEU,AK$189+1,$P231),"")</f>
        <v/>
      </c>
      <c r="AL231" s="334" t="str" cm="1">
        <f t="array" ref="AL231">IF($C231&lt;&gt;"bitte wählen",INDEX(ListeLebensmittelIFEU,AL$189+1,$P231),"")</f>
        <v/>
      </c>
      <c r="AM231" s="334" t="str" cm="1">
        <f t="array" ref="AM231">IF($C231&lt;&gt;"bitte wählen",INDEX(ListeLebensmittelIFEU,AM$189+1,$P231),"")</f>
        <v/>
      </c>
      <c r="AN231" s="334" t="str" cm="1">
        <f t="array" ref="AN231">IF($C231&lt;&gt;"bitte wählen",INDEX(ListeLebensmittelIFEU,AN$189+1,$P231),"")</f>
        <v/>
      </c>
      <c r="AO231" s="334" t="str" cm="1">
        <f t="array" ref="AO231">IF($C231&lt;&gt;"bitte wählen",INDEX(ListeLebensmittelIFEU,AO$189+1,$P231),"")</f>
        <v/>
      </c>
      <c r="AP231" s="334" t="str" cm="1">
        <f t="array" ref="AP231">IF($C231&lt;&gt;"bitte wählen",INDEX(ListeLebensmittelIFEU,AP$189+1,$P231),"")</f>
        <v/>
      </c>
      <c r="AQ231" s="334" t="str" cm="1">
        <f t="array" ref="AQ231">IF($C231&lt;&gt;"bitte wählen",INDEX(ListeLebensmittelIFEU,AQ$189+1,$P231),"")</f>
        <v/>
      </c>
      <c r="AR231" s="334" t="str" cm="1">
        <f t="array" ref="AR231">IF($C231&lt;&gt;"bitte wählen",INDEX(ListeLebensmittelIFEU,AR$189+1,$P231),"")</f>
        <v/>
      </c>
      <c r="AS231" s="334" t="str" cm="1">
        <f t="array" ref="AS231">IF($C231&lt;&gt;"bitte wählen",INDEX(ListeLebensmittelIFEU,AS$189+1,$P231),"")</f>
        <v/>
      </c>
      <c r="AT231" s="334" t="str" cm="1">
        <f t="array" ref="AT231">IF($C231&lt;&gt;"bitte wählen",INDEX(ListeLebensmittelIFEU,AT$189+1,$P231),"")</f>
        <v/>
      </c>
      <c r="AU231" s="334" t="str" cm="1">
        <f t="array" ref="AU231">IF($C231&lt;&gt;"bitte wählen",INDEX(ListeLebensmittelIFEU,AU$189+1,$P231),"")</f>
        <v/>
      </c>
      <c r="AV231" s="334" t="str" cm="1">
        <f t="array" ref="AV231">IF($C231&lt;&gt;"bitte wählen",INDEX(ListeLebensmittelIFEU,AV$189+1,$P231),"")</f>
        <v/>
      </c>
      <c r="AW231" s="334" t="str" cm="1">
        <f t="array" ref="AW231">IF($C231&lt;&gt;"bitte wählen",INDEX(ListeLebensmittelIFEU,AW$189+1,$P231),"")</f>
        <v/>
      </c>
      <c r="AX231" s="334" t="str" cm="1">
        <f t="array" ref="AX231">IF($C231&lt;&gt;"bitte wählen",INDEX(ListeLebensmittelIFEU,AX$189+1,$P231),"")</f>
        <v/>
      </c>
      <c r="AY231" s="334" t="str" cm="1">
        <f t="array" ref="AY231">IF($C231&lt;&gt;"bitte wählen",INDEX(ListeLebensmittelIFEU,AY$189+1,$P231),"")</f>
        <v/>
      </c>
      <c r="AZ231" s="335" t="str" cm="1">
        <f t="array" ref="AZ231">IF($C231&lt;&gt;"bitte wählen",INDEX(ListeLebensmittelIFEU,AZ$189+1,$P231),"")</f>
        <v/>
      </c>
    </row>
    <row r="232" spans="1:52" x14ac:dyDescent="0.3">
      <c r="B232" t="s">
        <v>329</v>
      </c>
      <c r="C232" s="471" t="s">
        <v>27</v>
      </c>
      <c r="D232" s="472" t="s">
        <v>1169</v>
      </c>
      <c r="E232" s="349"/>
      <c r="F232" s="473" t="s">
        <v>12</v>
      </c>
      <c r="G232" s="350" t="str">
        <f t="shared" si="25"/>
        <v/>
      </c>
      <c r="H232" s="293" t="str">
        <f t="shared" si="26"/>
        <v/>
      </c>
      <c r="P232" s="333">
        <f t="shared" si="27"/>
        <v>22</v>
      </c>
      <c r="Q232" s="334">
        <f t="shared" si="30"/>
        <v>1</v>
      </c>
      <c r="R232" s="359">
        <f t="shared" si="28"/>
        <v>0</v>
      </c>
      <c r="S232" s="380">
        <f t="shared" si="29"/>
        <v>0</v>
      </c>
      <c r="T232" s="333" t="str" cm="1">
        <f t="array" ref="T232">IF($C232&lt;&gt;"bitte wählen",INDEX(ListeLebensmittelIFEU,T$189+1,$P232),"")</f>
        <v/>
      </c>
      <c r="U232" s="334" t="str" cm="1">
        <f t="array" ref="U232">IF($C232&lt;&gt;"bitte wählen",INDEX(ListeLebensmittelIFEU,U$189+1,$P232),"")</f>
        <v/>
      </c>
      <c r="V232" s="334" t="str" cm="1">
        <f t="array" ref="V232">IF($C232&lt;&gt;"bitte wählen",INDEX(ListeLebensmittelIFEU,V$189+1,$P232),"")</f>
        <v/>
      </c>
      <c r="W232" s="334" t="str" cm="1">
        <f t="array" ref="W232">IF($C232&lt;&gt;"bitte wählen",INDEX(ListeLebensmittelIFEU,W$189+1,$P232),"")</f>
        <v/>
      </c>
      <c r="X232" s="334" t="str" cm="1">
        <f t="array" ref="X232">IF($C232&lt;&gt;"bitte wählen",INDEX(ListeLebensmittelIFEU,X$189+1,$P232),"")</f>
        <v/>
      </c>
      <c r="Y232" s="334" t="str" cm="1">
        <f t="array" ref="Y232">IF($C232&lt;&gt;"bitte wählen",INDEX(ListeLebensmittelIFEU,Y$189+1,$P232),"")</f>
        <v/>
      </c>
      <c r="Z232" s="334" t="str" cm="1">
        <f t="array" ref="Z232">IF($C232&lt;&gt;"bitte wählen",INDEX(ListeLebensmittelIFEU,Z$189+1,$P232),"")</f>
        <v/>
      </c>
      <c r="AA232" s="334" t="str" cm="1">
        <f t="array" ref="AA232">IF($C232&lt;&gt;"bitte wählen",INDEX(ListeLebensmittelIFEU,AA$189+1,$P232),"")</f>
        <v/>
      </c>
      <c r="AB232" s="334" t="str" cm="1">
        <f t="array" ref="AB232">IF($C232&lt;&gt;"bitte wählen",INDEX(ListeLebensmittelIFEU,AB$189+1,$P232),"")</f>
        <v/>
      </c>
      <c r="AC232" s="334" t="str" cm="1">
        <f t="array" ref="AC232">IF($C232&lt;&gt;"bitte wählen",INDEX(ListeLebensmittelIFEU,AC$189+1,$P232),"")</f>
        <v/>
      </c>
      <c r="AD232" s="334" t="str" cm="1">
        <f t="array" ref="AD232">IF($C232&lt;&gt;"bitte wählen",INDEX(ListeLebensmittelIFEU,AD$189+1,$P232),"")</f>
        <v/>
      </c>
      <c r="AE232" s="334" t="str" cm="1">
        <f t="array" ref="AE232">IF($C232&lt;&gt;"bitte wählen",INDEX(ListeLebensmittelIFEU,AE$189+1,$P232),"")</f>
        <v/>
      </c>
      <c r="AF232" s="334" t="str" cm="1">
        <f t="array" ref="AF232">IF($C232&lt;&gt;"bitte wählen",INDEX(ListeLebensmittelIFEU,AF$189+1,$P232),"")</f>
        <v/>
      </c>
      <c r="AG232" s="334" t="str" cm="1">
        <f t="array" ref="AG232">IF($C232&lt;&gt;"bitte wählen",INDEX(ListeLebensmittelIFEU,AG$189+1,$P232),"")</f>
        <v/>
      </c>
      <c r="AH232" s="334" t="str" cm="1">
        <f t="array" ref="AH232">IF($C232&lt;&gt;"bitte wählen",INDEX(ListeLebensmittelIFEU,AH$189+1,$P232),"")</f>
        <v/>
      </c>
      <c r="AI232" s="334" t="str" cm="1">
        <f t="array" ref="AI232">IF($C232&lt;&gt;"bitte wählen",INDEX(ListeLebensmittelIFEU,AI$189+1,$P232),"")</f>
        <v/>
      </c>
      <c r="AJ232" s="334" t="str" cm="1">
        <f t="array" ref="AJ232">IF($C232&lt;&gt;"bitte wählen",INDEX(ListeLebensmittelIFEU,AJ$189+1,$P232),"")</f>
        <v/>
      </c>
      <c r="AK232" s="334" t="str" cm="1">
        <f t="array" ref="AK232">IF($C232&lt;&gt;"bitte wählen",INDEX(ListeLebensmittelIFEU,AK$189+1,$P232),"")</f>
        <v/>
      </c>
      <c r="AL232" s="334" t="str" cm="1">
        <f t="array" ref="AL232">IF($C232&lt;&gt;"bitte wählen",INDEX(ListeLebensmittelIFEU,AL$189+1,$P232),"")</f>
        <v/>
      </c>
      <c r="AM232" s="334" t="str" cm="1">
        <f t="array" ref="AM232">IF($C232&lt;&gt;"bitte wählen",INDEX(ListeLebensmittelIFEU,AM$189+1,$P232),"")</f>
        <v/>
      </c>
      <c r="AN232" s="334" t="str" cm="1">
        <f t="array" ref="AN232">IF($C232&lt;&gt;"bitte wählen",INDEX(ListeLebensmittelIFEU,AN$189+1,$P232),"")</f>
        <v/>
      </c>
      <c r="AO232" s="334" t="str" cm="1">
        <f t="array" ref="AO232">IF($C232&lt;&gt;"bitte wählen",INDEX(ListeLebensmittelIFEU,AO$189+1,$P232),"")</f>
        <v/>
      </c>
      <c r="AP232" s="334" t="str" cm="1">
        <f t="array" ref="AP232">IF($C232&lt;&gt;"bitte wählen",INDEX(ListeLebensmittelIFEU,AP$189+1,$P232),"")</f>
        <v/>
      </c>
      <c r="AQ232" s="334" t="str" cm="1">
        <f t="array" ref="AQ232">IF($C232&lt;&gt;"bitte wählen",INDEX(ListeLebensmittelIFEU,AQ$189+1,$P232),"")</f>
        <v/>
      </c>
      <c r="AR232" s="334" t="str" cm="1">
        <f t="array" ref="AR232">IF($C232&lt;&gt;"bitte wählen",INDEX(ListeLebensmittelIFEU,AR$189+1,$P232),"")</f>
        <v/>
      </c>
      <c r="AS232" s="334" t="str" cm="1">
        <f t="array" ref="AS232">IF($C232&lt;&gt;"bitte wählen",INDEX(ListeLebensmittelIFEU,AS$189+1,$P232),"")</f>
        <v/>
      </c>
      <c r="AT232" s="334" t="str" cm="1">
        <f t="array" ref="AT232">IF($C232&lt;&gt;"bitte wählen",INDEX(ListeLebensmittelIFEU,AT$189+1,$P232),"")</f>
        <v/>
      </c>
      <c r="AU232" s="334" t="str" cm="1">
        <f t="array" ref="AU232">IF($C232&lt;&gt;"bitte wählen",INDEX(ListeLebensmittelIFEU,AU$189+1,$P232),"")</f>
        <v/>
      </c>
      <c r="AV232" s="334" t="str" cm="1">
        <f t="array" ref="AV232">IF($C232&lt;&gt;"bitte wählen",INDEX(ListeLebensmittelIFEU,AV$189+1,$P232),"")</f>
        <v/>
      </c>
      <c r="AW232" s="334" t="str" cm="1">
        <f t="array" ref="AW232">IF($C232&lt;&gt;"bitte wählen",INDEX(ListeLebensmittelIFEU,AW$189+1,$P232),"")</f>
        <v/>
      </c>
      <c r="AX232" s="334" t="str" cm="1">
        <f t="array" ref="AX232">IF($C232&lt;&gt;"bitte wählen",INDEX(ListeLebensmittelIFEU,AX$189+1,$P232),"")</f>
        <v/>
      </c>
      <c r="AY232" s="334" t="str" cm="1">
        <f t="array" ref="AY232">IF($C232&lt;&gt;"bitte wählen",INDEX(ListeLebensmittelIFEU,AY$189+1,$P232),"")</f>
        <v/>
      </c>
      <c r="AZ232" s="335" t="str" cm="1">
        <f t="array" ref="AZ232">IF($C232&lt;&gt;"bitte wählen",INDEX(ListeLebensmittelIFEU,AZ$189+1,$P232),"")</f>
        <v/>
      </c>
    </row>
    <row r="233" spans="1:52" x14ac:dyDescent="0.3">
      <c r="B233" t="s">
        <v>330</v>
      </c>
      <c r="C233" s="471" t="s">
        <v>27</v>
      </c>
      <c r="D233" s="472"/>
      <c r="E233" s="349"/>
      <c r="F233" s="473" t="s">
        <v>12</v>
      </c>
      <c r="G233" s="350" t="str">
        <f t="shared" si="25"/>
        <v/>
      </c>
      <c r="H233" s="293" t="str">
        <f t="shared" si="26"/>
        <v/>
      </c>
      <c r="P233" s="333">
        <f t="shared" si="27"/>
        <v>22</v>
      </c>
      <c r="Q233" s="334" t="e">
        <f t="shared" si="30"/>
        <v>#N/A</v>
      </c>
      <c r="R233" s="359">
        <f t="shared" si="28"/>
        <v>0</v>
      </c>
      <c r="S233" s="380">
        <f t="shared" si="29"/>
        <v>0</v>
      </c>
      <c r="T233" s="333" t="str" cm="1">
        <f t="array" ref="T233">IF($C233&lt;&gt;"bitte wählen",INDEX(ListeLebensmittelIFEU,T$189+1,$P233),"")</f>
        <v/>
      </c>
      <c r="U233" s="334" t="str" cm="1">
        <f t="array" ref="U233">IF($C233&lt;&gt;"bitte wählen",INDEX(ListeLebensmittelIFEU,U$189+1,$P233),"")</f>
        <v/>
      </c>
      <c r="V233" s="334" t="str" cm="1">
        <f t="array" ref="V233">IF($C233&lt;&gt;"bitte wählen",INDEX(ListeLebensmittelIFEU,V$189+1,$P233),"")</f>
        <v/>
      </c>
      <c r="W233" s="334" t="str" cm="1">
        <f t="array" ref="W233">IF($C233&lt;&gt;"bitte wählen",INDEX(ListeLebensmittelIFEU,W$189+1,$P233),"")</f>
        <v/>
      </c>
      <c r="X233" s="334" t="str" cm="1">
        <f t="array" ref="X233">IF($C233&lt;&gt;"bitte wählen",INDEX(ListeLebensmittelIFEU,X$189+1,$P233),"")</f>
        <v/>
      </c>
      <c r="Y233" s="334" t="str" cm="1">
        <f t="array" ref="Y233">IF($C233&lt;&gt;"bitte wählen",INDEX(ListeLebensmittelIFEU,Y$189+1,$P233),"")</f>
        <v/>
      </c>
      <c r="Z233" s="334" t="str" cm="1">
        <f t="array" ref="Z233">IF($C233&lt;&gt;"bitte wählen",INDEX(ListeLebensmittelIFEU,Z$189+1,$P233),"")</f>
        <v/>
      </c>
      <c r="AA233" s="334" t="str" cm="1">
        <f t="array" ref="AA233">IF($C233&lt;&gt;"bitte wählen",INDEX(ListeLebensmittelIFEU,AA$189+1,$P233),"")</f>
        <v/>
      </c>
      <c r="AB233" s="334" t="str" cm="1">
        <f t="array" ref="AB233">IF($C233&lt;&gt;"bitte wählen",INDEX(ListeLebensmittelIFEU,AB$189+1,$P233),"")</f>
        <v/>
      </c>
      <c r="AC233" s="334" t="str" cm="1">
        <f t="array" ref="AC233">IF($C233&lt;&gt;"bitte wählen",INDEX(ListeLebensmittelIFEU,AC$189+1,$P233),"")</f>
        <v/>
      </c>
      <c r="AD233" s="334" t="str" cm="1">
        <f t="array" ref="AD233">IF($C233&lt;&gt;"bitte wählen",INDEX(ListeLebensmittelIFEU,AD$189+1,$P233),"")</f>
        <v/>
      </c>
      <c r="AE233" s="334" t="str" cm="1">
        <f t="array" ref="AE233">IF($C233&lt;&gt;"bitte wählen",INDEX(ListeLebensmittelIFEU,AE$189+1,$P233),"")</f>
        <v/>
      </c>
      <c r="AF233" s="334" t="str" cm="1">
        <f t="array" ref="AF233">IF($C233&lt;&gt;"bitte wählen",INDEX(ListeLebensmittelIFEU,AF$189+1,$P233),"")</f>
        <v/>
      </c>
      <c r="AG233" s="334" t="str" cm="1">
        <f t="array" ref="AG233">IF($C233&lt;&gt;"bitte wählen",INDEX(ListeLebensmittelIFEU,AG$189+1,$P233),"")</f>
        <v/>
      </c>
      <c r="AH233" s="334" t="str" cm="1">
        <f t="array" ref="AH233">IF($C233&lt;&gt;"bitte wählen",INDEX(ListeLebensmittelIFEU,AH$189+1,$P233),"")</f>
        <v/>
      </c>
      <c r="AI233" s="334" t="str" cm="1">
        <f t="array" ref="AI233">IF($C233&lt;&gt;"bitte wählen",INDEX(ListeLebensmittelIFEU,AI$189+1,$P233),"")</f>
        <v/>
      </c>
      <c r="AJ233" s="334" t="str" cm="1">
        <f t="array" ref="AJ233">IF($C233&lt;&gt;"bitte wählen",INDEX(ListeLebensmittelIFEU,AJ$189+1,$P233),"")</f>
        <v/>
      </c>
      <c r="AK233" s="334" t="str" cm="1">
        <f t="array" ref="AK233">IF($C233&lt;&gt;"bitte wählen",INDEX(ListeLebensmittelIFEU,AK$189+1,$P233),"")</f>
        <v/>
      </c>
      <c r="AL233" s="334" t="str" cm="1">
        <f t="array" ref="AL233">IF($C233&lt;&gt;"bitte wählen",INDEX(ListeLebensmittelIFEU,AL$189+1,$P233),"")</f>
        <v/>
      </c>
      <c r="AM233" s="334" t="str" cm="1">
        <f t="array" ref="AM233">IF($C233&lt;&gt;"bitte wählen",INDEX(ListeLebensmittelIFEU,AM$189+1,$P233),"")</f>
        <v/>
      </c>
      <c r="AN233" s="334" t="str" cm="1">
        <f t="array" ref="AN233">IF($C233&lt;&gt;"bitte wählen",INDEX(ListeLebensmittelIFEU,AN$189+1,$P233),"")</f>
        <v/>
      </c>
      <c r="AO233" s="334" t="str" cm="1">
        <f t="array" ref="AO233">IF($C233&lt;&gt;"bitte wählen",INDEX(ListeLebensmittelIFEU,AO$189+1,$P233),"")</f>
        <v/>
      </c>
      <c r="AP233" s="334" t="str" cm="1">
        <f t="array" ref="AP233">IF($C233&lt;&gt;"bitte wählen",INDEX(ListeLebensmittelIFEU,AP$189+1,$P233),"")</f>
        <v/>
      </c>
      <c r="AQ233" s="334" t="str" cm="1">
        <f t="array" ref="AQ233">IF($C233&lt;&gt;"bitte wählen",INDEX(ListeLebensmittelIFEU,AQ$189+1,$P233),"")</f>
        <v/>
      </c>
      <c r="AR233" s="334" t="str" cm="1">
        <f t="array" ref="AR233">IF($C233&lt;&gt;"bitte wählen",INDEX(ListeLebensmittelIFEU,AR$189+1,$P233),"")</f>
        <v/>
      </c>
      <c r="AS233" s="334" t="str" cm="1">
        <f t="array" ref="AS233">IF($C233&lt;&gt;"bitte wählen",INDEX(ListeLebensmittelIFEU,AS$189+1,$P233),"")</f>
        <v/>
      </c>
      <c r="AT233" s="334" t="str" cm="1">
        <f t="array" ref="AT233">IF($C233&lt;&gt;"bitte wählen",INDEX(ListeLebensmittelIFEU,AT$189+1,$P233),"")</f>
        <v/>
      </c>
      <c r="AU233" s="334" t="str" cm="1">
        <f t="array" ref="AU233">IF($C233&lt;&gt;"bitte wählen",INDEX(ListeLebensmittelIFEU,AU$189+1,$P233),"")</f>
        <v/>
      </c>
      <c r="AV233" s="334" t="str" cm="1">
        <f t="array" ref="AV233">IF($C233&lt;&gt;"bitte wählen",INDEX(ListeLebensmittelIFEU,AV$189+1,$P233),"")</f>
        <v/>
      </c>
      <c r="AW233" s="334" t="str" cm="1">
        <f t="array" ref="AW233">IF($C233&lt;&gt;"bitte wählen",INDEX(ListeLebensmittelIFEU,AW$189+1,$P233),"")</f>
        <v/>
      </c>
      <c r="AX233" s="334" t="str" cm="1">
        <f t="array" ref="AX233">IF($C233&lt;&gt;"bitte wählen",INDEX(ListeLebensmittelIFEU,AX$189+1,$P233),"")</f>
        <v/>
      </c>
      <c r="AY233" s="334" t="str" cm="1">
        <f t="array" ref="AY233">IF($C233&lt;&gt;"bitte wählen",INDEX(ListeLebensmittelIFEU,AY$189+1,$P233),"")</f>
        <v/>
      </c>
      <c r="AZ233" s="335" t="str" cm="1">
        <f t="array" ref="AZ233">IF($C233&lt;&gt;"bitte wählen",INDEX(ListeLebensmittelIFEU,AZ$189+1,$P233),"")</f>
        <v/>
      </c>
    </row>
    <row r="234" spans="1:52" x14ac:dyDescent="0.3">
      <c r="B234" t="s">
        <v>398</v>
      </c>
      <c r="C234" s="471" t="s">
        <v>27</v>
      </c>
      <c r="D234" s="472"/>
      <c r="E234" s="349"/>
      <c r="F234" s="473" t="s">
        <v>12</v>
      </c>
      <c r="G234" s="350" t="str">
        <f t="shared" si="25"/>
        <v/>
      </c>
      <c r="H234" s="293" t="str">
        <f t="shared" si="26"/>
        <v/>
      </c>
      <c r="P234" s="336">
        <f t="shared" si="27"/>
        <v>22</v>
      </c>
      <c r="Q234" s="337" t="e">
        <f t="shared" si="30"/>
        <v>#N/A</v>
      </c>
      <c r="R234" s="360">
        <f t="shared" si="28"/>
        <v>0</v>
      </c>
      <c r="S234" s="381">
        <f t="shared" si="29"/>
        <v>0</v>
      </c>
      <c r="T234" s="336" t="str" cm="1">
        <f t="array" ref="T234">IF($C234&lt;&gt;"bitte wählen",INDEX(ListeLebensmittelIFEU,T$189+1,$P234),"")</f>
        <v/>
      </c>
      <c r="U234" s="337" t="str" cm="1">
        <f t="array" ref="U234">IF($C234&lt;&gt;"bitte wählen",INDEX(ListeLebensmittelIFEU,U$189+1,$P234),"")</f>
        <v/>
      </c>
      <c r="V234" s="337" t="str" cm="1">
        <f t="array" ref="V234">IF($C234&lt;&gt;"bitte wählen",INDEX(ListeLebensmittelIFEU,V$189+1,$P234),"")</f>
        <v/>
      </c>
      <c r="W234" s="337" t="str" cm="1">
        <f t="array" ref="W234">IF($C234&lt;&gt;"bitte wählen",INDEX(ListeLebensmittelIFEU,W$189+1,$P234),"")</f>
        <v/>
      </c>
      <c r="X234" s="337" t="str" cm="1">
        <f t="array" ref="X234">IF($C234&lt;&gt;"bitte wählen",INDEX(ListeLebensmittelIFEU,X$189+1,$P234),"")</f>
        <v/>
      </c>
      <c r="Y234" s="337" t="str" cm="1">
        <f t="array" ref="Y234">IF($C234&lt;&gt;"bitte wählen",INDEX(ListeLebensmittelIFEU,Y$189+1,$P234),"")</f>
        <v/>
      </c>
      <c r="Z234" s="337" t="str" cm="1">
        <f t="array" ref="Z234">IF($C234&lt;&gt;"bitte wählen",INDEX(ListeLebensmittelIFEU,Z$189+1,$P234),"")</f>
        <v/>
      </c>
      <c r="AA234" s="337" t="str" cm="1">
        <f t="array" ref="AA234">IF($C234&lt;&gt;"bitte wählen",INDEX(ListeLebensmittelIFEU,AA$189+1,$P234),"")</f>
        <v/>
      </c>
      <c r="AB234" s="337" t="str" cm="1">
        <f t="array" ref="AB234">IF($C234&lt;&gt;"bitte wählen",INDEX(ListeLebensmittelIFEU,AB$189+1,$P234),"")</f>
        <v/>
      </c>
      <c r="AC234" s="337" t="str" cm="1">
        <f t="array" ref="AC234">IF($C234&lt;&gt;"bitte wählen",INDEX(ListeLebensmittelIFEU,AC$189+1,$P234),"")</f>
        <v/>
      </c>
      <c r="AD234" s="337" t="str" cm="1">
        <f t="array" ref="AD234">IF($C234&lt;&gt;"bitte wählen",INDEX(ListeLebensmittelIFEU,AD$189+1,$P234),"")</f>
        <v/>
      </c>
      <c r="AE234" s="337" t="str" cm="1">
        <f t="array" ref="AE234">IF($C234&lt;&gt;"bitte wählen",INDEX(ListeLebensmittelIFEU,AE$189+1,$P234),"")</f>
        <v/>
      </c>
      <c r="AF234" s="337" t="str" cm="1">
        <f t="array" ref="AF234">IF($C234&lt;&gt;"bitte wählen",INDEX(ListeLebensmittelIFEU,AF$189+1,$P234),"")</f>
        <v/>
      </c>
      <c r="AG234" s="337" t="str" cm="1">
        <f t="array" ref="AG234">IF($C234&lt;&gt;"bitte wählen",INDEX(ListeLebensmittelIFEU,AG$189+1,$P234),"")</f>
        <v/>
      </c>
      <c r="AH234" s="337" t="str" cm="1">
        <f t="array" ref="AH234">IF($C234&lt;&gt;"bitte wählen",INDEX(ListeLebensmittelIFEU,AH$189+1,$P234),"")</f>
        <v/>
      </c>
      <c r="AI234" s="337" t="str" cm="1">
        <f t="array" ref="AI234">IF($C234&lt;&gt;"bitte wählen",INDEX(ListeLebensmittelIFEU,AI$189+1,$P234),"")</f>
        <v/>
      </c>
      <c r="AJ234" s="337" t="str" cm="1">
        <f t="array" ref="AJ234">IF($C234&lt;&gt;"bitte wählen",INDEX(ListeLebensmittelIFEU,AJ$189+1,$P234),"")</f>
        <v/>
      </c>
      <c r="AK234" s="337" t="str" cm="1">
        <f t="array" ref="AK234">IF($C234&lt;&gt;"bitte wählen",INDEX(ListeLebensmittelIFEU,AK$189+1,$P234),"")</f>
        <v/>
      </c>
      <c r="AL234" s="337" t="str" cm="1">
        <f t="array" ref="AL234">IF($C234&lt;&gt;"bitte wählen",INDEX(ListeLebensmittelIFEU,AL$189+1,$P234),"")</f>
        <v/>
      </c>
      <c r="AM234" s="337" t="str" cm="1">
        <f t="array" ref="AM234">IF($C234&lt;&gt;"bitte wählen",INDEX(ListeLebensmittelIFEU,AM$189+1,$P234),"")</f>
        <v/>
      </c>
      <c r="AN234" s="337" t="str" cm="1">
        <f t="array" ref="AN234">IF($C234&lt;&gt;"bitte wählen",INDEX(ListeLebensmittelIFEU,AN$189+1,$P234),"")</f>
        <v/>
      </c>
      <c r="AO234" s="337" t="str" cm="1">
        <f t="array" ref="AO234">IF($C234&lt;&gt;"bitte wählen",INDEX(ListeLebensmittelIFEU,AO$189+1,$P234),"")</f>
        <v/>
      </c>
      <c r="AP234" s="337" t="str" cm="1">
        <f t="array" ref="AP234">IF($C234&lt;&gt;"bitte wählen",INDEX(ListeLebensmittelIFEU,AP$189+1,$P234),"")</f>
        <v/>
      </c>
      <c r="AQ234" s="337" t="str" cm="1">
        <f t="array" ref="AQ234">IF($C234&lt;&gt;"bitte wählen",INDEX(ListeLebensmittelIFEU,AQ$189+1,$P234),"")</f>
        <v/>
      </c>
      <c r="AR234" s="337" t="str" cm="1">
        <f t="array" ref="AR234">IF($C234&lt;&gt;"bitte wählen",INDEX(ListeLebensmittelIFEU,AR$189+1,$P234),"")</f>
        <v/>
      </c>
      <c r="AS234" s="337" t="str" cm="1">
        <f t="array" ref="AS234">IF($C234&lt;&gt;"bitte wählen",INDEX(ListeLebensmittelIFEU,AS$189+1,$P234),"")</f>
        <v/>
      </c>
      <c r="AT234" s="337" t="str" cm="1">
        <f t="array" ref="AT234">IF($C234&lt;&gt;"bitte wählen",INDEX(ListeLebensmittelIFEU,AT$189+1,$P234),"")</f>
        <v/>
      </c>
      <c r="AU234" s="337" t="str" cm="1">
        <f t="array" ref="AU234">IF($C234&lt;&gt;"bitte wählen",INDEX(ListeLebensmittelIFEU,AU$189+1,$P234),"")</f>
        <v/>
      </c>
      <c r="AV234" s="337" t="str" cm="1">
        <f t="array" ref="AV234">IF($C234&lt;&gt;"bitte wählen",INDEX(ListeLebensmittelIFEU,AV$189+1,$P234),"")</f>
        <v/>
      </c>
      <c r="AW234" s="337" t="str" cm="1">
        <f t="array" ref="AW234">IF($C234&lt;&gt;"bitte wählen",INDEX(ListeLebensmittelIFEU,AW$189+1,$P234),"")</f>
        <v/>
      </c>
      <c r="AX234" s="337" t="str" cm="1">
        <f t="array" ref="AX234">IF($C234&lt;&gt;"bitte wählen",INDEX(ListeLebensmittelIFEU,AX$189+1,$P234),"")</f>
        <v/>
      </c>
      <c r="AY234" s="337" t="str" cm="1">
        <f t="array" ref="AY234">IF($C234&lt;&gt;"bitte wählen",INDEX(ListeLebensmittelIFEU,AY$189+1,$P234),"")</f>
        <v/>
      </c>
      <c r="AZ234" s="338" t="str" cm="1">
        <f t="array" ref="AZ234">IF($C234&lt;&gt;"bitte wählen",INDEX(ListeLebensmittelIFEU,AZ$189+1,$P234),"")</f>
        <v/>
      </c>
    </row>
    <row r="235" spans="1:52" x14ac:dyDescent="0.3">
      <c r="B235" s="105" t="str">
        <f>IF(R235,IF(E235/IF(D227="",1,D227)&lt;GewichtMittagessenMin,"Hinweis: Dies scheint eine relativ kleine Portion zu sein",IF(E235/IF(D227="",1,D227)&gt;GewichtMittagessenMax,"Hinweis: Dies scheint eine relativ große Portion zu sein","")),"")</f>
        <v/>
      </c>
      <c r="C235" s="78"/>
      <c r="D235" s="78"/>
      <c r="E235" s="355">
        <f>SUM(E229:E234)-SUMIF(C229:C234,"Getränke",E229:E234)</f>
        <v>0</v>
      </c>
      <c r="G235" s="15" t="s">
        <v>622</v>
      </c>
      <c r="H235" s="293">
        <f>SUM(H229:H234)</f>
        <v>0</v>
      </c>
      <c r="Q235" s="383" t="s">
        <v>1030</v>
      </c>
      <c r="R235" s="386" t="b">
        <f>IF(SUM(R229:R234)&gt;0,TRUE,FALSE)</f>
        <v>0</v>
      </c>
      <c r="S235" s="383">
        <f>SUM(S229:S234)</f>
        <v>0</v>
      </c>
      <c r="T235" s="383" t="s">
        <v>1029</v>
      </c>
      <c r="U235" s="383" t="str">
        <f>IF(R235,IF(S235&gt;9,10,IF(S235&gt;0,1,0)),"")</f>
        <v/>
      </c>
    </row>
    <row r="236" spans="1:52" x14ac:dyDescent="0.3">
      <c r="B236" s="385" t="str">
        <f>IF(U235=0,"🌱 vegan","")</f>
        <v/>
      </c>
      <c r="C236" s="105" t="str">
        <f>IF(U235=1,"Ⓥ vegetarisch","")</f>
        <v/>
      </c>
      <c r="D236" s="384" t="str">
        <f>IF(U235=10,"🥩 mit Fleisch/Fisch","")</f>
        <v/>
      </c>
      <c r="E236" s="78"/>
      <c r="G236" s="15" t="s">
        <v>623</v>
      </c>
      <c r="H236" s="294">
        <f>IF(D227="",H235,H235/D227)</f>
        <v>0</v>
      </c>
    </row>
    <row r="237" spans="1:52" x14ac:dyDescent="0.3">
      <c r="T237" s="84"/>
    </row>
    <row r="238" spans="1:52" ht="18" thickBot="1" x14ac:dyDescent="0.4">
      <c r="B238" s="496" t="str">
        <f>"CO₂-Bilanz Gericht 5: "&amp;D239</f>
        <v>CO₂-Bilanz Gericht 5: Menü 5</v>
      </c>
      <c r="C238" s="496"/>
      <c r="D238" s="496"/>
      <c r="E238" s="496"/>
      <c r="T238" s="84"/>
    </row>
    <row r="239" spans="1:52" ht="15" thickTop="1" x14ac:dyDescent="0.3">
      <c r="B239" t="s">
        <v>994</v>
      </c>
      <c r="D239" s="288" t="s">
        <v>998</v>
      </c>
      <c r="F239" s="78"/>
      <c r="G239" s="78"/>
      <c r="H239" s="78"/>
      <c r="I239" s="78"/>
    </row>
    <row r="240" spans="1:52" x14ac:dyDescent="0.3">
      <c r="B240" t="s">
        <v>995</v>
      </c>
      <c r="C240" s="78"/>
      <c r="D240" s="291">
        <v>1</v>
      </c>
      <c r="E240" s="301" t="str">
        <f>IF(ISNUMBER(FIND("g",_xlfn.CONCAT(E242:E247))),"Bitte Menge als reine Zahl ohne Zusatz g eingeben","")</f>
        <v/>
      </c>
      <c r="G240" s="78"/>
      <c r="H240" s="78"/>
      <c r="T240" s="329" t="s">
        <v>918</v>
      </c>
      <c r="U240" s="330"/>
      <c r="V240" s="330"/>
      <c r="W240" s="330"/>
      <c r="X240" s="330"/>
      <c r="Y240" s="330"/>
    </row>
    <row r="241" spans="1:52" ht="44.4" x14ac:dyDescent="0.35">
      <c r="A241" s="376" t="s">
        <v>1217</v>
      </c>
      <c r="C241" s="297" t="s">
        <v>993</v>
      </c>
      <c r="D241" s="313" t="s">
        <v>992</v>
      </c>
      <c r="E241" s="298" t="s">
        <v>323</v>
      </c>
      <c r="F241" s="298" t="s">
        <v>324</v>
      </c>
      <c r="G241" s="296" t="s">
        <v>534</v>
      </c>
      <c r="H241" s="296" t="s">
        <v>535</v>
      </c>
      <c r="P241" s="356" t="s">
        <v>956</v>
      </c>
      <c r="Q241" s="356" t="s">
        <v>957</v>
      </c>
      <c r="R241" s="357" t="s">
        <v>958</v>
      </c>
      <c r="S241" s="357" t="s">
        <v>1028</v>
      </c>
      <c r="T241" s="361">
        <v>1</v>
      </c>
      <c r="U241" s="362">
        <v>2</v>
      </c>
      <c r="V241" s="362">
        <v>3</v>
      </c>
      <c r="W241" s="362">
        <v>4</v>
      </c>
      <c r="X241" s="362">
        <v>5</v>
      </c>
      <c r="Y241" s="362">
        <v>6</v>
      </c>
      <c r="Z241" s="362">
        <v>7</v>
      </c>
      <c r="AA241" s="362">
        <v>8</v>
      </c>
      <c r="AB241" s="362">
        <v>9</v>
      </c>
      <c r="AC241" s="362">
        <v>10</v>
      </c>
      <c r="AD241" s="362">
        <v>11</v>
      </c>
      <c r="AE241" s="362">
        <v>12</v>
      </c>
      <c r="AF241" s="362">
        <v>13</v>
      </c>
      <c r="AG241" s="362">
        <v>14</v>
      </c>
      <c r="AH241" s="362">
        <v>15</v>
      </c>
      <c r="AI241" s="362">
        <v>16</v>
      </c>
      <c r="AJ241" s="362">
        <v>17</v>
      </c>
      <c r="AK241" s="362">
        <v>18</v>
      </c>
      <c r="AL241" s="362">
        <v>19</v>
      </c>
      <c r="AM241" s="362">
        <v>20</v>
      </c>
      <c r="AN241" s="362">
        <v>21</v>
      </c>
      <c r="AO241" s="362">
        <v>22</v>
      </c>
      <c r="AP241" s="362">
        <v>23</v>
      </c>
      <c r="AQ241" s="362">
        <v>24</v>
      </c>
      <c r="AR241" s="362">
        <v>25</v>
      </c>
      <c r="AS241" s="362">
        <v>26</v>
      </c>
      <c r="AT241" s="362">
        <v>27</v>
      </c>
      <c r="AU241" s="362">
        <v>28</v>
      </c>
      <c r="AV241" s="362">
        <v>29</v>
      </c>
      <c r="AW241" s="362">
        <v>30</v>
      </c>
      <c r="AX241" s="362">
        <v>31</v>
      </c>
      <c r="AY241" s="362">
        <v>32</v>
      </c>
      <c r="AZ241" s="363">
        <v>33</v>
      </c>
    </row>
    <row r="242" spans="1:52" x14ac:dyDescent="0.3">
      <c r="B242" t="s">
        <v>13</v>
      </c>
      <c r="C242" s="471" t="s">
        <v>27</v>
      </c>
      <c r="D242" s="472"/>
      <c r="E242" s="470"/>
      <c r="F242" s="473" t="s">
        <v>12</v>
      </c>
      <c r="G242" s="350" t="str">
        <f t="shared" ref="G242:G247" si="31">IF(D242="","",R242*IF(F242="Ja",FaktorBeiLokalemProdukt,1))</f>
        <v/>
      </c>
      <c r="H242" s="293" t="str">
        <f t="shared" ref="H242:H247" si="32">IF(D242="","",E242*G242)</f>
        <v/>
      </c>
      <c r="P242" s="331">
        <f t="shared" ref="P242:P247" si="33">VLOOKUP(C242,$C$457:$D$464,2,FALSE)</f>
        <v>22</v>
      </c>
      <c r="Q242" s="332" t="e">
        <f>MATCH(D242,T242:AZ242,0)</f>
        <v>#N/A</v>
      </c>
      <c r="R242" s="358">
        <f t="shared" ref="R242:R247" si="34">_xlfn.IFNA(IF(D242&lt;&gt;"",VLOOKUP(D242,$C$544:$E$774,2,FALSE),0),0)</f>
        <v>0</v>
      </c>
      <c r="S242" s="358">
        <f t="shared" ref="S242:S247" si="35">_xlfn.IFNA(IF(D242&lt;&gt;"",VLOOKUP(D242,$C$544:$E$774,3,FALSE),0),0)</f>
        <v>0</v>
      </c>
      <c r="T242" s="333" t="str" cm="1">
        <f t="array" ref="T242">IF($C242&lt;&gt;"bitte wählen",INDEX(ListeLebensmittelIFEU,T$189+1,$P242),"")</f>
        <v/>
      </c>
      <c r="U242" s="334" t="str" cm="1">
        <f t="array" ref="U242">IF($C242&lt;&gt;"bitte wählen",INDEX(ListeLebensmittelIFEU,U$189+1,$P242),"")</f>
        <v/>
      </c>
      <c r="V242" s="334" t="str" cm="1">
        <f t="array" ref="V242">IF($C242&lt;&gt;"bitte wählen",INDEX(ListeLebensmittelIFEU,V$189+1,$P242),"")</f>
        <v/>
      </c>
      <c r="W242" s="334" t="str" cm="1">
        <f t="array" ref="W242">IF($C242&lt;&gt;"bitte wählen",INDEX(ListeLebensmittelIFEU,W$189+1,$P242),"")</f>
        <v/>
      </c>
      <c r="X242" s="334" t="str" cm="1">
        <f t="array" ref="X242">IF($C242&lt;&gt;"bitte wählen",INDEX(ListeLebensmittelIFEU,X$189+1,$P242),"")</f>
        <v/>
      </c>
      <c r="Y242" s="334" t="str" cm="1">
        <f t="array" ref="Y242">IF($C242&lt;&gt;"bitte wählen",INDEX(ListeLebensmittelIFEU,Y$189+1,$P242),"")</f>
        <v/>
      </c>
      <c r="Z242" s="334" t="str" cm="1">
        <f t="array" ref="Z242">IF($C242&lt;&gt;"bitte wählen",INDEX(ListeLebensmittelIFEU,Z$189+1,$P242),"")</f>
        <v/>
      </c>
      <c r="AA242" s="334" t="str" cm="1">
        <f t="array" ref="AA242">IF($C242&lt;&gt;"bitte wählen",INDEX(ListeLebensmittelIFEU,AA$189+1,$P242),"")</f>
        <v/>
      </c>
      <c r="AB242" s="334" t="str" cm="1">
        <f t="array" ref="AB242">IF($C242&lt;&gt;"bitte wählen",INDEX(ListeLebensmittelIFEU,AB$189+1,$P242),"")</f>
        <v/>
      </c>
      <c r="AC242" s="334" t="str" cm="1">
        <f t="array" ref="AC242">IF($C242&lt;&gt;"bitte wählen",INDEX(ListeLebensmittelIFEU,AC$189+1,$P242),"")</f>
        <v/>
      </c>
      <c r="AD242" s="334" t="str" cm="1">
        <f t="array" ref="AD242">IF($C242&lt;&gt;"bitte wählen",INDEX(ListeLebensmittelIFEU,AD$189+1,$P242),"")</f>
        <v/>
      </c>
      <c r="AE242" s="334" t="str" cm="1">
        <f t="array" ref="AE242">IF($C242&lt;&gt;"bitte wählen",INDEX(ListeLebensmittelIFEU,AE$189+1,$P242),"")</f>
        <v/>
      </c>
      <c r="AF242" s="334" t="str" cm="1">
        <f t="array" ref="AF242">IF($C242&lt;&gt;"bitte wählen",INDEX(ListeLebensmittelIFEU,AF$189+1,$P242),"")</f>
        <v/>
      </c>
      <c r="AG242" s="334" t="str" cm="1">
        <f t="array" ref="AG242">IF($C242&lt;&gt;"bitte wählen",INDEX(ListeLebensmittelIFEU,AG$189+1,$P242),"")</f>
        <v/>
      </c>
      <c r="AH242" s="334" t="str" cm="1">
        <f t="array" ref="AH242">IF($C242&lt;&gt;"bitte wählen",INDEX(ListeLebensmittelIFEU,AH$189+1,$P242),"")</f>
        <v/>
      </c>
      <c r="AI242" s="334" t="str" cm="1">
        <f t="array" ref="AI242">IF($C242&lt;&gt;"bitte wählen",INDEX(ListeLebensmittelIFEU,AI$189+1,$P242),"")</f>
        <v/>
      </c>
      <c r="AJ242" s="334" t="str" cm="1">
        <f t="array" ref="AJ242">IF($C242&lt;&gt;"bitte wählen",INDEX(ListeLebensmittelIFEU,AJ$189+1,$P242),"")</f>
        <v/>
      </c>
      <c r="AK242" s="334" t="str" cm="1">
        <f t="array" ref="AK242">IF($C242&lt;&gt;"bitte wählen",INDEX(ListeLebensmittelIFEU,AK$189+1,$P242),"")</f>
        <v/>
      </c>
      <c r="AL242" s="334" t="str" cm="1">
        <f t="array" ref="AL242">IF($C242&lt;&gt;"bitte wählen",INDEX(ListeLebensmittelIFEU,AL$189+1,$P242),"")</f>
        <v/>
      </c>
      <c r="AM242" s="334" t="str" cm="1">
        <f t="array" ref="AM242">IF($C242&lt;&gt;"bitte wählen",INDEX(ListeLebensmittelIFEU,AM$189+1,$P242),"")</f>
        <v/>
      </c>
      <c r="AN242" s="334" t="str" cm="1">
        <f t="array" ref="AN242">IF($C242&lt;&gt;"bitte wählen",INDEX(ListeLebensmittelIFEU,AN$189+1,$P242),"")</f>
        <v/>
      </c>
      <c r="AO242" s="334" t="str" cm="1">
        <f t="array" ref="AO242">IF($C242&lt;&gt;"bitte wählen",INDEX(ListeLebensmittelIFEU,AO$189+1,$P242),"")</f>
        <v/>
      </c>
      <c r="AP242" s="334" t="str" cm="1">
        <f t="array" ref="AP242">IF($C242&lt;&gt;"bitte wählen",INDEX(ListeLebensmittelIFEU,AP$189+1,$P242),"")</f>
        <v/>
      </c>
      <c r="AQ242" s="334" t="str" cm="1">
        <f t="array" ref="AQ242">IF($C242&lt;&gt;"bitte wählen",INDEX(ListeLebensmittelIFEU,AQ$189+1,$P242),"")</f>
        <v/>
      </c>
      <c r="AR242" s="334" t="str" cm="1">
        <f t="array" ref="AR242">IF($C242&lt;&gt;"bitte wählen",INDEX(ListeLebensmittelIFEU,AR$189+1,$P242),"")</f>
        <v/>
      </c>
      <c r="AS242" s="334" t="str" cm="1">
        <f t="array" ref="AS242">IF($C242&lt;&gt;"bitte wählen",INDEX(ListeLebensmittelIFEU,AS$189+1,$P242),"")</f>
        <v/>
      </c>
      <c r="AT242" s="334" t="str" cm="1">
        <f t="array" ref="AT242">IF($C242&lt;&gt;"bitte wählen",INDEX(ListeLebensmittelIFEU,AT$189+1,$P242),"")</f>
        <v/>
      </c>
      <c r="AU242" s="334" t="str" cm="1">
        <f t="array" ref="AU242">IF($C242&lt;&gt;"bitte wählen",INDEX(ListeLebensmittelIFEU,AU$189+1,$P242),"")</f>
        <v/>
      </c>
      <c r="AV242" s="334" t="str" cm="1">
        <f t="array" ref="AV242">IF($C242&lt;&gt;"bitte wählen",INDEX(ListeLebensmittelIFEU,AV$189+1,$P242),"")</f>
        <v/>
      </c>
      <c r="AW242" s="334" t="str" cm="1">
        <f t="array" ref="AW242">IF($C242&lt;&gt;"bitte wählen",INDEX(ListeLebensmittelIFEU,AW$189+1,$P242),"")</f>
        <v/>
      </c>
      <c r="AX242" s="334" t="str" cm="1">
        <f t="array" ref="AX242">IF($C242&lt;&gt;"bitte wählen",INDEX(ListeLebensmittelIFEU,AX$189+1,$P242),"")</f>
        <v/>
      </c>
      <c r="AY242" s="334" t="str" cm="1">
        <f t="array" ref="AY242">IF($C242&lt;&gt;"bitte wählen",INDEX(ListeLebensmittelIFEU,AY$189+1,$P242),"")</f>
        <v/>
      </c>
      <c r="AZ242" s="335" t="str" cm="1">
        <f t="array" ref="AZ242">IF($C242&lt;&gt;"bitte wählen",INDEX(ListeLebensmittelIFEU,AZ$189+1,$P242),"")</f>
        <v/>
      </c>
    </row>
    <row r="243" spans="1:52" x14ac:dyDescent="0.3">
      <c r="B243" t="s">
        <v>327</v>
      </c>
      <c r="C243" s="471" t="s">
        <v>27</v>
      </c>
      <c r="D243" s="472"/>
      <c r="E243" s="349"/>
      <c r="F243" s="473" t="s">
        <v>12</v>
      </c>
      <c r="G243" s="350" t="str">
        <f t="shared" si="31"/>
        <v/>
      </c>
      <c r="H243" s="293" t="str">
        <f t="shared" si="32"/>
        <v/>
      </c>
      <c r="P243" s="333">
        <f t="shared" si="33"/>
        <v>22</v>
      </c>
      <c r="Q243" s="334" t="e">
        <f t="shared" ref="Q243:Q247" si="36">MATCH(D243,T243:AZ243,0)</f>
        <v>#N/A</v>
      </c>
      <c r="R243" s="359">
        <f t="shared" si="34"/>
        <v>0</v>
      </c>
      <c r="S243" s="380">
        <f t="shared" si="35"/>
        <v>0</v>
      </c>
      <c r="T243" s="333" t="str" cm="1">
        <f t="array" ref="T243">IF($C243&lt;&gt;"bitte wählen",INDEX(ListeLebensmittelIFEU,T$189+1,$P243),"")</f>
        <v/>
      </c>
      <c r="U243" s="334" t="str" cm="1">
        <f t="array" ref="U243">IF($C243&lt;&gt;"bitte wählen",INDEX(ListeLebensmittelIFEU,U$189+1,$P243),"")</f>
        <v/>
      </c>
      <c r="V243" s="334" t="str" cm="1">
        <f t="array" ref="V243">IF($C243&lt;&gt;"bitte wählen",INDEX(ListeLebensmittelIFEU,V$189+1,$P243),"")</f>
        <v/>
      </c>
      <c r="W243" s="334" t="str" cm="1">
        <f t="array" ref="W243">IF($C243&lt;&gt;"bitte wählen",INDEX(ListeLebensmittelIFEU,W$189+1,$P243),"")</f>
        <v/>
      </c>
      <c r="X243" s="334" t="str" cm="1">
        <f t="array" ref="X243">IF($C243&lt;&gt;"bitte wählen",INDEX(ListeLebensmittelIFEU,X$189+1,$P243),"")</f>
        <v/>
      </c>
      <c r="Y243" s="334" t="str" cm="1">
        <f t="array" ref="Y243">IF($C243&lt;&gt;"bitte wählen",INDEX(ListeLebensmittelIFEU,Y$189+1,$P243),"")</f>
        <v/>
      </c>
      <c r="Z243" s="334" t="str" cm="1">
        <f t="array" ref="Z243">IF($C243&lt;&gt;"bitte wählen",INDEX(ListeLebensmittelIFEU,Z$189+1,$P243),"")</f>
        <v/>
      </c>
      <c r="AA243" s="334" t="str" cm="1">
        <f t="array" ref="AA243">IF($C243&lt;&gt;"bitte wählen",INDEX(ListeLebensmittelIFEU,AA$189+1,$P243),"")</f>
        <v/>
      </c>
      <c r="AB243" s="334" t="str" cm="1">
        <f t="array" ref="AB243">IF($C243&lt;&gt;"bitte wählen",INDEX(ListeLebensmittelIFEU,AB$189+1,$P243),"")</f>
        <v/>
      </c>
      <c r="AC243" s="334" t="str" cm="1">
        <f t="array" ref="AC243">IF($C243&lt;&gt;"bitte wählen",INDEX(ListeLebensmittelIFEU,AC$189+1,$P243),"")</f>
        <v/>
      </c>
      <c r="AD243" s="334" t="str" cm="1">
        <f t="array" ref="AD243">IF($C243&lt;&gt;"bitte wählen",INDEX(ListeLebensmittelIFEU,AD$189+1,$P243),"")</f>
        <v/>
      </c>
      <c r="AE243" s="334" t="str" cm="1">
        <f t="array" ref="AE243">IF($C243&lt;&gt;"bitte wählen",INDEX(ListeLebensmittelIFEU,AE$189+1,$P243),"")</f>
        <v/>
      </c>
      <c r="AF243" s="334" t="str" cm="1">
        <f t="array" ref="AF243">IF($C243&lt;&gt;"bitte wählen",INDEX(ListeLebensmittelIFEU,AF$189+1,$P243),"")</f>
        <v/>
      </c>
      <c r="AG243" s="334" t="str" cm="1">
        <f t="array" ref="AG243">IF($C243&lt;&gt;"bitte wählen",INDEX(ListeLebensmittelIFEU,AG$189+1,$P243),"")</f>
        <v/>
      </c>
      <c r="AH243" s="334" t="str" cm="1">
        <f t="array" ref="AH243">IF($C243&lt;&gt;"bitte wählen",INDEX(ListeLebensmittelIFEU,AH$189+1,$P243),"")</f>
        <v/>
      </c>
      <c r="AI243" s="334" t="str" cm="1">
        <f t="array" ref="AI243">IF($C243&lt;&gt;"bitte wählen",INDEX(ListeLebensmittelIFEU,AI$189+1,$P243),"")</f>
        <v/>
      </c>
      <c r="AJ243" s="334" t="str" cm="1">
        <f t="array" ref="AJ243">IF($C243&lt;&gt;"bitte wählen",INDEX(ListeLebensmittelIFEU,AJ$189+1,$P243),"")</f>
        <v/>
      </c>
      <c r="AK243" s="334" t="str" cm="1">
        <f t="array" ref="AK243">IF($C243&lt;&gt;"bitte wählen",INDEX(ListeLebensmittelIFEU,AK$189+1,$P243),"")</f>
        <v/>
      </c>
      <c r="AL243" s="334" t="str" cm="1">
        <f t="array" ref="AL243">IF($C243&lt;&gt;"bitte wählen",INDEX(ListeLebensmittelIFEU,AL$189+1,$P243),"")</f>
        <v/>
      </c>
      <c r="AM243" s="334" t="str" cm="1">
        <f t="array" ref="AM243">IF($C243&lt;&gt;"bitte wählen",INDEX(ListeLebensmittelIFEU,AM$189+1,$P243),"")</f>
        <v/>
      </c>
      <c r="AN243" s="334" t="str" cm="1">
        <f t="array" ref="AN243">IF($C243&lt;&gt;"bitte wählen",INDEX(ListeLebensmittelIFEU,AN$189+1,$P243),"")</f>
        <v/>
      </c>
      <c r="AO243" s="334" t="str" cm="1">
        <f t="array" ref="AO243">IF($C243&lt;&gt;"bitte wählen",INDEX(ListeLebensmittelIFEU,AO$189+1,$P243),"")</f>
        <v/>
      </c>
      <c r="AP243" s="334" t="str" cm="1">
        <f t="array" ref="AP243">IF($C243&lt;&gt;"bitte wählen",INDEX(ListeLebensmittelIFEU,AP$189+1,$P243),"")</f>
        <v/>
      </c>
      <c r="AQ243" s="334" t="str" cm="1">
        <f t="array" ref="AQ243">IF($C243&lt;&gt;"bitte wählen",INDEX(ListeLebensmittelIFEU,AQ$189+1,$P243),"")</f>
        <v/>
      </c>
      <c r="AR243" s="334" t="str" cm="1">
        <f t="array" ref="AR243">IF($C243&lt;&gt;"bitte wählen",INDEX(ListeLebensmittelIFEU,AR$189+1,$P243),"")</f>
        <v/>
      </c>
      <c r="AS243" s="334" t="str" cm="1">
        <f t="array" ref="AS243">IF($C243&lt;&gt;"bitte wählen",INDEX(ListeLebensmittelIFEU,AS$189+1,$P243),"")</f>
        <v/>
      </c>
      <c r="AT243" s="334" t="str" cm="1">
        <f t="array" ref="AT243">IF($C243&lt;&gt;"bitte wählen",INDEX(ListeLebensmittelIFEU,AT$189+1,$P243),"")</f>
        <v/>
      </c>
      <c r="AU243" s="334" t="str" cm="1">
        <f t="array" ref="AU243">IF($C243&lt;&gt;"bitte wählen",INDEX(ListeLebensmittelIFEU,AU$189+1,$P243),"")</f>
        <v/>
      </c>
      <c r="AV243" s="334" t="str" cm="1">
        <f t="array" ref="AV243">IF($C243&lt;&gt;"bitte wählen",INDEX(ListeLebensmittelIFEU,AV$189+1,$P243),"")</f>
        <v/>
      </c>
      <c r="AW243" s="334" t="str" cm="1">
        <f t="array" ref="AW243">IF($C243&lt;&gt;"bitte wählen",INDEX(ListeLebensmittelIFEU,AW$189+1,$P243),"")</f>
        <v/>
      </c>
      <c r="AX243" s="334" t="str" cm="1">
        <f t="array" ref="AX243">IF($C243&lt;&gt;"bitte wählen",INDEX(ListeLebensmittelIFEU,AX$189+1,$P243),"")</f>
        <v/>
      </c>
      <c r="AY243" s="334" t="str" cm="1">
        <f t="array" ref="AY243">IF($C243&lt;&gt;"bitte wählen",INDEX(ListeLebensmittelIFEU,AY$189+1,$P243),"")</f>
        <v/>
      </c>
      <c r="AZ243" s="335" t="str" cm="1">
        <f t="array" ref="AZ243">IF($C243&lt;&gt;"bitte wählen",INDEX(ListeLebensmittelIFEU,AZ$189+1,$P243),"")</f>
        <v/>
      </c>
    </row>
    <row r="244" spans="1:52" x14ac:dyDescent="0.3">
      <c r="B244" t="s">
        <v>328</v>
      </c>
      <c r="C244" s="471" t="s">
        <v>27</v>
      </c>
      <c r="D244" s="472"/>
      <c r="E244" s="349"/>
      <c r="F244" s="473" t="s">
        <v>12</v>
      </c>
      <c r="G244" s="350" t="str">
        <f t="shared" si="31"/>
        <v/>
      </c>
      <c r="H244" s="293" t="str">
        <f t="shared" si="32"/>
        <v/>
      </c>
      <c r="P244" s="333">
        <f t="shared" si="33"/>
        <v>22</v>
      </c>
      <c r="Q244" s="334" t="e">
        <f t="shared" si="36"/>
        <v>#N/A</v>
      </c>
      <c r="R244" s="359">
        <f t="shared" si="34"/>
        <v>0</v>
      </c>
      <c r="S244" s="380">
        <f t="shared" si="35"/>
        <v>0</v>
      </c>
      <c r="T244" s="333" t="str" cm="1">
        <f t="array" ref="T244">IF($C244&lt;&gt;"bitte wählen",INDEX(ListeLebensmittelIFEU,T$189+1,$P244),"")</f>
        <v/>
      </c>
      <c r="U244" s="334" t="str" cm="1">
        <f t="array" ref="U244">IF($C244&lt;&gt;"bitte wählen",INDEX(ListeLebensmittelIFEU,U$189+1,$P244),"")</f>
        <v/>
      </c>
      <c r="V244" s="334" t="str" cm="1">
        <f t="array" ref="V244">IF($C244&lt;&gt;"bitte wählen",INDEX(ListeLebensmittelIFEU,V$189+1,$P244),"")</f>
        <v/>
      </c>
      <c r="W244" s="334" t="str" cm="1">
        <f t="array" ref="W244">IF($C244&lt;&gt;"bitte wählen",INDEX(ListeLebensmittelIFEU,W$189+1,$P244),"")</f>
        <v/>
      </c>
      <c r="X244" s="334" t="str" cm="1">
        <f t="array" ref="X244">IF($C244&lt;&gt;"bitte wählen",INDEX(ListeLebensmittelIFEU,X$189+1,$P244),"")</f>
        <v/>
      </c>
      <c r="Y244" s="334" t="str" cm="1">
        <f t="array" ref="Y244">IF($C244&lt;&gt;"bitte wählen",INDEX(ListeLebensmittelIFEU,Y$189+1,$P244),"")</f>
        <v/>
      </c>
      <c r="Z244" s="334" t="str" cm="1">
        <f t="array" ref="Z244">IF($C244&lt;&gt;"bitte wählen",INDEX(ListeLebensmittelIFEU,Z$189+1,$P244),"")</f>
        <v/>
      </c>
      <c r="AA244" s="334" t="str" cm="1">
        <f t="array" ref="AA244">IF($C244&lt;&gt;"bitte wählen",INDEX(ListeLebensmittelIFEU,AA$189+1,$P244),"")</f>
        <v/>
      </c>
      <c r="AB244" s="334" t="str" cm="1">
        <f t="array" ref="AB244">IF($C244&lt;&gt;"bitte wählen",INDEX(ListeLebensmittelIFEU,AB$189+1,$P244),"")</f>
        <v/>
      </c>
      <c r="AC244" s="334" t="str" cm="1">
        <f t="array" ref="AC244">IF($C244&lt;&gt;"bitte wählen",INDEX(ListeLebensmittelIFEU,AC$189+1,$P244),"")</f>
        <v/>
      </c>
      <c r="AD244" s="334" t="str" cm="1">
        <f t="array" ref="AD244">IF($C244&lt;&gt;"bitte wählen",INDEX(ListeLebensmittelIFEU,AD$189+1,$P244),"")</f>
        <v/>
      </c>
      <c r="AE244" s="334" t="str" cm="1">
        <f t="array" ref="AE244">IF($C244&lt;&gt;"bitte wählen",INDEX(ListeLebensmittelIFEU,AE$189+1,$P244),"")</f>
        <v/>
      </c>
      <c r="AF244" s="334" t="str" cm="1">
        <f t="array" ref="AF244">IF($C244&lt;&gt;"bitte wählen",INDEX(ListeLebensmittelIFEU,AF$189+1,$P244),"")</f>
        <v/>
      </c>
      <c r="AG244" s="334" t="str" cm="1">
        <f t="array" ref="AG244">IF($C244&lt;&gt;"bitte wählen",INDEX(ListeLebensmittelIFEU,AG$189+1,$P244),"")</f>
        <v/>
      </c>
      <c r="AH244" s="334" t="str" cm="1">
        <f t="array" ref="AH244">IF($C244&lt;&gt;"bitte wählen",INDEX(ListeLebensmittelIFEU,AH$189+1,$P244),"")</f>
        <v/>
      </c>
      <c r="AI244" s="334" t="str" cm="1">
        <f t="array" ref="AI244">IF($C244&lt;&gt;"bitte wählen",INDEX(ListeLebensmittelIFEU,AI$189+1,$P244),"")</f>
        <v/>
      </c>
      <c r="AJ244" s="334" t="str" cm="1">
        <f t="array" ref="AJ244">IF($C244&lt;&gt;"bitte wählen",INDEX(ListeLebensmittelIFEU,AJ$189+1,$P244),"")</f>
        <v/>
      </c>
      <c r="AK244" s="334" t="str" cm="1">
        <f t="array" ref="AK244">IF($C244&lt;&gt;"bitte wählen",INDEX(ListeLebensmittelIFEU,AK$189+1,$P244),"")</f>
        <v/>
      </c>
      <c r="AL244" s="334" t="str" cm="1">
        <f t="array" ref="AL244">IF($C244&lt;&gt;"bitte wählen",INDEX(ListeLebensmittelIFEU,AL$189+1,$P244),"")</f>
        <v/>
      </c>
      <c r="AM244" s="334" t="str" cm="1">
        <f t="array" ref="AM244">IF($C244&lt;&gt;"bitte wählen",INDEX(ListeLebensmittelIFEU,AM$189+1,$P244),"")</f>
        <v/>
      </c>
      <c r="AN244" s="334" t="str" cm="1">
        <f t="array" ref="AN244">IF($C244&lt;&gt;"bitte wählen",INDEX(ListeLebensmittelIFEU,AN$189+1,$P244),"")</f>
        <v/>
      </c>
      <c r="AO244" s="334" t="str" cm="1">
        <f t="array" ref="AO244">IF($C244&lt;&gt;"bitte wählen",INDEX(ListeLebensmittelIFEU,AO$189+1,$P244),"")</f>
        <v/>
      </c>
      <c r="AP244" s="334" t="str" cm="1">
        <f t="array" ref="AP244">IF($C244&lt;&gt;"bitte wählen",INDEX(ListeLebensmittelIFEU,AP$189+1,$P244),"")</f>
        <v/>
      </c>
      <c r="AQ244" s="334" t="str" cm="1">
        <f t="array" ref="AQ244">IF($C244&lt;&gt;"bitte wählen",INDEX(ListeLebensmittelIFEU,AQ$189+1,$P244),"")</f>
        <v/>
      </c>
      <c r="AR244" s="334" t="str" cm="1">
        <f t="array" ref="AR244">IF($C244&lt;&gt;"bitte wählen",INDEX(ListeLebensmittelIFEU,AR$189+1,$P244),"")</f>
        <v/>
      </c>
      <c r="AS244" s="334" t="str" cm="1">
        <f t="array" ref="AS244">IF($C244&lt;&gt;"bitte wählen",INDEX(ListeLebensmittelIFEU,AS$189+1,$P244),"")</f>
        <v/>
      </c>
      <c r="AT244" s="334" t="str" cm="1">
        <f t="array" ref="AT244">IF($C244&lt;&gt;"bitte wählen",INDEX(ListeLebensmittelIFEU,AT$189+1,$P244),"")</f>
        <v/>
      </c>
      <c r="AU244" s="334" t="str" cm="1">
        <f t="array" ref="AU244">IF($C244&lt;&gt;"bitte wählen",INDEX(ListeLebensmittelIFEU,AU$189+1,$P244),"")</f>
        <v/>
      </c>
      <c r="AV244" s="334" t="str" cm="1">
        <f t="array" ref="AV244">IF($C244&lt;&gt;"bitte wählen",INDEX(ListeLebensmittelIFEU,AV$189+1,$P244),"")</f>
        <v/>
      </c>
      <c r="AW244" s="334" t="str" cm="1">
        <f t="array" ref="AW244">IF($C244&lt;&gt;"bitte wählen",INDEX(ListeLebensmittelIFEU,AW$189+1,$P244),"")</f>
        <v/>
      </c>
      <c r="AX244" s="334" t="str" cm="1">
        <f t="array" ref="AX244">IF($C244&lt;&gt;"bitte wählen",INDEX(ListeLebensmittelIFEU,AX$189+1,$P244),"")</f>
        <v/>
      </c>
      <c r="AY244" s="334" t="str" cm="1">
        <f t="array" ref="AY244">IF($C244&lt;&gt;"bitte wählen",INDEX(ListeLebensmittelIFEU,AY$189+1,$P244),"")</f>
        <v/>
      </c>
      <c r="AZ244" s="335" t="str" cm="1">
        <f t="array" ref="AZ244">IF($C244&lt;&gt;"bitte wählen",INDEX(ListeLebensmittelIFEU,AZ$189+1,$P244),"")</f>
        <v/>
      </c>
    </row>
    <row r="245" spans="1:52" x14ac:dyDescent="0.3">
      <c r="B245" t="s">
        <v>329</v>
      </c>
      <c r="C245" s="471" t="s">
        <v>27</v>
      </c>
      <c r="D245" s="472"/>
      <c r="E245" s="349"/>
      <c r="F245" s="473" t="s">
        <v>12</v>
      </c>
      <c r="G245" s="350" t="str">
        <f t="shared" si="31"/>
        <v/>
      </c>
      <c r="H245" s="293" t="str">
        <f t="shared" si="32"/>
        <v/>
      </c>
      <c r="P245" s="333">
        <f t="shared" si="33"/>
        <v>22</v>
      </c>
      <c r="Q245" s="334" t="e">
        <f t="shared" si="36"/>
        <v>#N/A</v>
      </c>
      <c r="R245" s="359">
        <f t="shared" si="34"/>
        <v>0</v>
      </c>
      <c r="S245" s="380">
        <f t="shared" si="35"/>
        <v>0</v>
      </c>
      <c r="T245" s="333" t="str" cm="1">
        <f t="array" ref="T245">IF($C245&lt;&gt;"bitte wählen",INDEX(ListeLebensmittelIFEU,T$189+1,$P245),"")</f>
        <v/>
      </c>
      <c r="U245" s="334" t="str" cm="1">
        <f t="array" ref="U245">IF($C245&lt;&gt;"bitte wählen",INDEX(ListeLebensmittelIFEU,U$189+1,$P245),"")</f>
        <v/>
      </c>
      <c r="V245" s="334" t="str" cm="1">
        <f t="array" ref="V245">IF($C245&lt;&gt;"bitte wählen",INDEX(ListeLebensmittelIFEU,V$189+1,$P245),"")</f>
        <v/>
      </c>
      <c r="W245" s="334" t="str" cm="1">
        <f t="array" ref="W245">IF($C245&lt;&gt;"bitte wählen",INDEX(ListeLebensmittelIFEU,W$189+1,$P245),"")</f>
        <v/>
      </c>
      <c r="X245" s="334" t="str" cm="1">
        <f t="array" ref="X245">IF($C245&lt;&gt;"bitte wählen",INDEX(ListeLebensmittelIFEU,X$189+1,$P245),"")</f>
        <v/>
      </c>
      <c r="Y245" s="334" t="str" cm="1">
        <f t="array" ref="Y245">IF($C245&lt;&gt;"bitte wählen",INDEX(ListeLebensmittelIFEU,Y$189+1,$P245),"")</f>
        <v/>
      </c>
      <c r="Z245" s="334" t="str" cm="1">
        <f t="array" ref="Z245">IF($C245&lt;&gt;"bitte wählen",INDEX(ListeLebensmittelIFEU,Z$189+1,$P245),"")</f>
        <v/>
      </c>
      <c r="AA245" s="334" t="str" cm="1">
        <f t="array" ref="AA245">IF($C245&lt;&gt;"bitte wählen",INDEX(ListeLebensmittelIFEU,AA$189+1,$P245),"")</f>
        <v/>
      </c>
      <c r="AB245" s="334" t="str" cm="1">
        <f t="array" ref="AB245">IF($C245&lt;&gt;"bitte wählen",INDEX(ListeLebensmittelIFEU,AB$189+1,$P245),"")</f>
        <v/>
      </c>
      <c r="AC245" s="334" t="str" cm="1">
        <f t="array" ref="AC245">IF($C245&lt;&gt;"bitte wählen",INDEX(ListeLebensmittelIFEU,AC$189+1,$P245),"")</f>
        <v/>
      </c>
      <c r="AD245" s="334" t="str" cm="1">
        <f t="array" ref="AD245">IF($C245&lt;&gt;"bitte wählen",INDEX(ListeLebensmittelIFEU,AD$189+1,$P245),"")</f>
        <v/>
      </c>
      <c r="AE245" s="334" t="str" cm="1">
        <f t="array" ref="AE245">IF($C245&lt;&gt;"bitte wählen",INDEX(ListeLebensmittelIFEU,AE$189+1,$P245),"")</f>
        <v/>
      </c>
      <c r="AF245" s="334" t="str" cm="1">
        <f t="array" ref="AF245">IF($C245&lt;&gt;"bitte wählen",INDEX(ListeLebensmittelIFEU,AF$189+1,$P245),"")</f>
        <v/>
      </c>
      <c r="AG245" s="334" t="str" cm="1">
        <f t="array" ref="AG245">IF($C245&lt;&gt;"bitte wählen",INDEX(ListeLebensmittelIFEU,AG$189+1,$P245),"")</f>
        <v/>
      </c>
      <c r="AH245" s="334" t="str" cm="1">
        <f t="array" ref="AH245">IF($C245&lt;&gt;"bitte wählen",INDEX(ListeLebensmittelIFEU,AH$189+1,$P245),"")</f>
        <v/>
      </c>
      <c r="AI245" s="334" t="str" cm="1">
        <f t="array" ref="AI245">IF($C245&lt;&gt;"bitte wählen",INDEX(ListeLebensmittelIFEU,AI$189+1,$P245),"")</f>
        <v/>
      </c>
      <c r="AJ245" s="334" t="str" cm="1">
        <f t="array" ref="AJ245">IF($C245&lt;&gt;"bitte wählen",INDEX(ListeLebensmittelIFEU,AJ$189+1,$P245),"")</f>
        <v/>
      </c>
      <c r="AK245" s="334" t="str" cm="1">
        <f t="array" ref="AK245">IF($C245&lt;&gt;"bitte wählen",INDEX(ListeLebensmittelIFEU,AK$189+1,$P245),"")</f>
        <v/>
      </c>
      <c r="AL245" s="334" t="str" cm="1">
        <f t="array" ref="AL245">IF($C245&lt;&gt;"bitte wählen",INDEX(ListeLebensmittelIFEU,AL$189+1,$P245),"")</f>
        <v/>
      </c>
      <c r="AM245" s="334" t="str" cm="1">
        <f t="array" ref="AM245">IF($C245&lt;&gt;"bitte wählen",INDEX(ListeLebensmittelIFEU,AM$189+1,$P245),"")</f>
        <v/>
      </c>
      <c r="AN245" s="334" t="str" cm="1">
        <f t="array" ref="AN245">IF($C245&lt;&gt;"bitte wählen",INDEX(ListeLebensmittelIFEU,AN$189+1,$P245),"")</f>
        <v/>
      </c>
      <c r="AO245" s="334" t="str" cm="1">
        <f t="array" ref="AO245">IF($C245&lt;&gt;"bitte wählen",INDEX(ListeLebensmittelIFEU,AO$189+1,$P245),"")</f>
        <v/>
      </c>
      <c r="AP245" s="334" t="str" cm="1">
        <f t="array" ref="AP245">IF($C245&lt;&gt;"bitte wählen",INDEX(ListeLebensmittelIFEU,AP$189+1,$P245),"")</f>
        <v/>
      </c>
      <c r="AQ245" s="334" t="str" cm="1">
        <f t="array" ref="AQ245">IF($C245&lt;&gt;"bitte wählen",INDEX(ListeLebensmittelIFEU,AQ$189+1,$P245),"")</f>
        <v/>
      </c>
      <c r="AR245" s="334" t="str" cm="1">
        <f t="array" ref="AR245">IF($C245&lt;&gt;"bitte wählen",INDEX(ListeLebensmittelIFEU,AR$189+1,$P245),"")</f>
        <v/>
      </c>
      <c r="AS245" s="334" t="str" cm="1">
        <f t="array" ref="AS245">IF($C245&lt;&gt;"bitte wählen",INDEX(ListeLebensmittelIFEU,AS$189+1,$P245),"")</f>
        <v/>
      </c>
      <c r="AT245" s="334" t="str" cm="1">
        <f t="array" ref="AT245">IF($C245&lt;&gt;"bitte wählen",INDEX(ListeLebensmittelIFEU,AT$189+1,$P245),"")</f>
        <v/>
      </c>
      <c r="AU245" s="334" t="str" cm="1">
        <f t="array" ref="AU245">IF($C245&lt;&gt;"bitte wählen",INDEX(ListeLebensmittelIFEU,AU$189+1,$P245),"")</f>
        <v/>
      </c>
      <c r="AV245" s="334" t="str" cm="1">
        <f t="array" ref="AV245">IF($C245&lt;&gt;"bitte wählen",INDEX(ListeLebensmittelIFEU,AV$189+1,$P245),"")</f>
        <v/>
      </c>
      <c r="AW245" s="334" t="str" cm="1">
        <f t="array" ref="AW245">IF($C245&lt;&gt;"bitte wählen",INDEX(ListeLebensmittelIFEU,AW$189+1,$P245),"")</f>
        <v/>
      </c>
      <c r="AX245" s="334" t="str" cm="1">
        <f t="array" ref="AX245">IF($C245&lt;&gt;"bitte wählen",INDEX(ListeLebensmittelIFEU,AX$189+1,$P245),"")</f>
        <v/>
      </c>
      <c r="AY245" s="334" t="str" cm="1">
        <f t="array" ref="AY245">IF($C245&lt;&gt;"bitte wählen",INDEX(ListeLebensmittelIFEU,AY$189+1,$P245),"")</f>
        <v/>
      </c>
      <c r="AZ245" s="335" t="str" cm="1">
        <f t="array" ref="AZ245">IF($C245&lt;&gt;"bitte wählen",INDEX(ListeLebensmittelIFEU,AZ$189+1,$P245),"")</f>
        <v/>
      </c>
    </row>
    <row r="246" spans="1:52" x14ac:dyDescent="0.3">
      <c r="B246" t="s">
        <v>330</v>
      </c>
      <c r="C246" s="471" t="s">
        <v>27</v>
      </c>
      <c r="D246" s="472"/>
      <c r="E246" s="349"/>
      <c r="F246" s="473" t="s">
        <v>12</v>
      </c>
      <c r="G246" s="350" t="str">
        <f t="shared" si="31"/>
        <v/>
      </c>
      <c r="H246" s="293" t="str">
        <f t="shared" si="32"/>
        <v/>
      </c>
      <c r="P246" s="333">
        <f t="shared" si="33"/>
        <v>22</v>
      </c>
      <c r="Q246" s="334" t="e">
        <f t="shared" si="36"/>
        <v>#N/A</v>
      </c>
      <c r="R246" s="359">
        <f t="shared" si="34"/>
        <v>0</v>
      </c>
      <c r="S246" s="380">
        <f t="shared" si="35"/>
        <v>0</v>
      </c>
      <c r="T246" s="333" t="str" cm="1">
        <f t="array" ref="T246">IF($C246&lt;&gt;"bitte wählen",INDEX(ListeLebensmittelIFEU,T$189+1,$P246),"")</f>
        <v/>
      </c>
      <c r="U246" s="334" t="str" cm="1">
        <f t="array" ref="U246">IF($C246&lt;&gt;"bitte wählen",INDEX(ListeLebensmittelIFEU,U$189+1,$P246),"")</f>
        <v/>
      </c>
      <c r="V246" s="334" t="str" cm="1">
        <f t="array" ref="V246">IF($C246&lt;&gt;"bitte wählen",INDEX(ListeLebensmittelIFEU,V$189+1,$P246),"")</f>
        <v/>
      </c>
      <c r="W246" s="334" t="str" cm="1">
        <f t="array" ref="W246">IF($C246&lt;&gt;"bitte wählen",INDEX(ListeLebensmittelIFEU,W$189+1,$P246),"")</f>
        <v/>
      </c>
      <c r="X246" s="334" t="str" cm="1">
        <f t="array" ref="X246">IF($C246&lt;&gt;"bitte wählen",INDEX(ListeLebensmittelIFEU,X$189+1,$P246),"")</f>
        <v/>
      </c>
      <c r="Y246" s="334" t="str" cm="1">
        <f t="array" ref="Y246">IF($C246&lt;&gt;"bitte wählen",INDEX(ListeLebensmittelIFEU,Y$189+1,$P246),"")</f>
        <v/>
      </c>
      <c r="Z246" s="334" t="str" cm="1">
        <f t="array" ref="Z246">IF($C246&lt;&gt;"bitte wählen",INDEX(ListeLebensmittelIFEU,Z$189+1,$P246),"")</f>
        <v/>
      </c>
      <c r="AA246" s="334" t="str" cm="1">
        <f t="array" ref="AA246">IF($C246&lt;&gt;"bitte wählen",INDEX(ListeLebensmittelIFEU,AA$189+1,$P246),"")</f>
        <v/>
      </c>
      <c r="AB246" s="334" t="str" cm="1">
        <f t="array" ref="AB246">IF($C246&lt;&gt;"bitte wählen",INDEX(ListeLebensmittelIFEU,AB$189+1,$P246),"")</f>
        <v/>
      </c>
      <c r="AC246" s="334" t="str" cm="1">
        <f t="array" ref="AC246">IF($C246&lt;&gt;"bitte wählen",INDEX(ListeLebensmittelIFEU,AC$189+1,$P246),"")</f>
        <v/>
      </c>
      <c r="AD246" s="334" t="str" cm="1">
        <f t="array" ref="AD246">IF($C246&lt;&gt;"bitte wählen",INDEX(ListeLebensmittelIFEU,AD$189+1,$P246),"")</f>
        <v/>
      </c>
      <c r="AE246" s="334" t="str" cm="1">
        <f t="array" ref="AE246">IF($C246&lt;&gt;"bitte wählen",INDEX(ListeLebensmittelIFEU,AE$189+1,$P246),"")</f>
        <v/>
      </c>
      <c r="AF246" s="334" t="str" cm="1">
        <f t="array" ref="AF246">IF($C246&lt;&gt;"bitte wählen",INDEX(ListeLebensmittelIFEU,AF$189+1,$P246),"")</f>
        <v/>
      </c>
      <c r="AG246" s="334" t="str" cm="1">
        <f t="array" ref="AG246">IF($C246&lt;&gt;"bitte wählen",INDEX(ListeLebensmittelIFEU,AG$189+1,$P246),"")</f>
        <v/>
      </c>
      <c r="AH246" s="334" t="str" cm="1">
        <f t="array" ref="AH246">IF($C246&lt;&gt;"bitte wählen",INDEX(ListeLebensmittelIFEU,AH$189+1,$P246),"")</f>
        <v/>
      </c>
      <c r="AI246" s="334" t="str" cm="1">
        <f t="array" ref="AI246">IF($C246&lt;&gt;"bitte wählen",INDEX(ListeLebensmittelIFEU,AI$189+1,$P246),"")</f>
        <v/>
      </c>
      <c r="AJ246" s="334" t="str" cm="1">
        <f t="array" ref="AJ246">IF($C246&lt;&gt;"bitte wählen",INDEX(ListeLebensmittelIFEU,AJ$189+1,$P246),"")</f>
        <v/>
      </c>
      <c r="AK246" s="334" t="str" cm="1">
        <f t="array" ref="AK246">IF($C246&lt;&gt;"bitte wählen",INDEX(ListeLebensmittelIFEU,AK$189+1,$P246),"")</f>
        <v/>
      </c>
      <c r="AL246" s="334" t="str" cm="1">
        <f t="array" ref="AL246">IF($C246&lt;&gt;"bitte wählen",INDEX(ListeLebensmittelIFEU,AL$189+1,$P246),"")</f>
        <v/>
      </c>
      <c r="AM246" s="334" t="str" cm="1">
        <f t="array" ref="AM246">IF($C246&lt;&gt;"bitte wählen",INDEX(ListeLebensmittelIFEU,AM$189+1,$P246),"")</f>
        <v/>
      </c>
      <c r="AN246" s="334" t="str" cm="1">
        <f t="array" ref="AN246">IF($C246&lt;&gt;"bitte wählen",INDEX(ListeLebensmittelIFEU,AN$189+1,$P246),"")</f>
        <v/>
      </c>
      <c r="AO246" s="334" t="str" cm="1">
        <f t="array" ref="AO246">IF($C246&lt;&gt;"bitte wählen",INDEX(ListeLebensmittelIFEU,AO$189+1,$P246),"")</f>
        <v/>
      </c>
      <c r="AP246" s="334" t="str" cm="1">
        <f t="array" ref="AP246">IF($C246&lt;&gt;"bitte wählen",INDEX(ListeLebensmittelIFEU,AP$189+1,$P246),"")</f>
        <v/>
      </c>
      <c r="AQ246" s="334" t="str" cm="1">
        <f t="array" ref="AQ246">IF($C246&lt;&gt;"bitte wählen",INDEX(ListeLebensmittelIFEU,AQ$189+1,$P246),"")</f>
        <v/>
      </c>
      <c r="AR246" s="334" t="str" cm="1">
        <f t="array" ref="AR246">IF($C246&lt;&gt;"bitte wählen",INDEX(ListeLebensmittelIFEU,AR$189+1,$P246),"")</f>
        <v/>
      </c>
      <c r="AS246" s="334" t="str" cm="1">
        <f t="array" ref="AS246">IF($C246&lt;&gt;"bitte wählen",INDEX(ListeLebensmittelIFEU,AS$189+1,$P246),"")</f>
        <v/>
      </c>
      <c r="AT246" s="334" t="str" cm="1">
        <f t="array" ref="AT246">IF($C246&lt;&gt;"bitte wählen",INDEX(ListeLebensmittelIFEU,AT$189+1,$P246),"")</f>
        <v/>
      </c>
      <c r="AU246" s="334" t="str" cm="1">
        <f t="array" ref="AU246">IF($C246&lt;&gt;"bitte wählen",INDEX(ListeLebensmittelIFEU,AU$189+1,$P246),"")</f>
        <v/>
      </c>
      <c r="AV246" s="334" t="str" cm="1">
        <f t="array" ref="AV246">IF($C246&lt;&gt;"bitte wählen",INDEX(ListeLebensmittelIFEU,AV$189+1,$P246),"")</f>
        <v/>
      </c>
      <c r="AW246" s="334" t="str" cm="1">
        <f t="array" ref="AW246">IF($C246&lt;&gt;"bitte wählen",INDEX(ListeLebensmittelIFEU,AW$189+1,$P246),"")</f>
        <v/>
      </c>
      <c r="AX246" s="334" t="str" cm="1">
        <f t="array" ref="AX246">IF($C246&lt;&gt;"bitte wählen",INDEX(ListeLebensmittelIFEU,AX$189+1,$P246),"")</f>
        <v/>
      </c>
      <c r="AY246" s="334" t="str" cm="1">
        <f t="array" ref="AY246">IF($C246&lt;&gt;"bitte wählen",INDEX(ListeLebensmittelIFEU,AY$189+1,$P246),"")</f>
        <v/>
      </c>
      <c r="AZ246" s="335" t="str" cm="1">
        <f t="array" ref="AZ246">IF($C246&lt;&gt;"bitte wählen",INDEX(ListeLebensmittelIFEU,AZ$189+1,$P246),"")</f>
        <v/>
      </c>
    </row>
    <row r="247" spans="1:52" x14ac:dyDescent="0.3">
      <c r="B247" t="s">
        <v>398</v>
      </c>
      <c r="C247" s="471" t="s">
        <v>27</v>
      </c>
      <c r="D247" s="472"/>
      <c r="E247" s="349"/>
      <c r="F247" s="473" t="s">
        <v>12</v>
      </c>
      <c r="G247" s="350" t="str">
        <f t="shared" si="31"/>
        <v/>
      </c>
      <c r="H247" s="293" t="str">
        <f t="shared" si="32"/>
        <v/>
      </c>
      <c r="P247" s="336">
        <f t="shared" si="33"/>
        <v>22</v>
      </c>
      <c r="Q247" s="337" t="e">
        <f t="shared" si="36"/>
        <v>#N/A</v>
      </c>
      <c r="R247" s="360">
        <f t="shared" si="34"/>
        <v>0</v>
      </c>
      <c r="S247" s="381">
        <f t="shared" si="35"/>
        <v>0</v>
      </c>
      <c r="T247" s="336" t="str" cm="1">
        <f t="array" ref="T247">IF($C247&lt;&gt;"bitte wählen",INDEX(ListeLebensmittelIFEU,T$189+1,$P247),"")</f>
        <v/>
      </c>
      <c r="U247" s="337" t="str" cm="1">
        <f t="array" ref="U247">IF($C247&lt;&gt;"bitte wählen",INDEX(ListeLebensmittelIFEU,U$189+1,$P247),"")</f>
        <v/>
      </c>
      <c r="V247" s="337" t="str" cm="1">
        <f t="array" ref="V247">IF($C247&lt;&gt;"bitte wählen",INDEX(ListeLebensmittelIFEU,V$189+1,$P247),"")</f>
        <v/>
      </c>
      <c r="W247" s="337" t="str" cm="1">
        <f t="array" ref="W247">IF($C247&lt;&gt;"bitte wählen",INDEX(ListeLebensmittelIFEU,W$189+1,$P247),"")</f>
        <v/>
      </c>
      <c r="X247" s="337" t="str" cm="1">
        <f t="array" ref="X247">IF($C247&lt;&gt;"bitte wählen",INDEX(ListeLebensmittelIFEU,X$189+1,$P247),"")</f>
        <v/>
      </c>
      <c r="Y247" s="337" t="str" cm="1">
        <f t="array" ref="Y247">IF($C247&lt;&gt;"bitte wählen",INDEX(ListeLebensmittelIFEU,Y$189+1,$P247),"")</f>
        <v/>
      </c>
      <c r="Z247" s="337" t="str" cm="1">
        <f t="array" ref="Z247">IF($C247&lt;&gt;"bitte wählen",INDEX(ListeLebensmittelIFEU,Z$189+1,$P247),"")</f>
        <v/>
      </c>
      <c r="AA247" s="337" t="str" cm="1">
        <f t="array" ref="AA247">IF($C247&lt;&gt;"bitte wählen",INDEX(ListeLebensmittelIFEU,AA$189+1,$P247),"")</f>
        <v/>
      </c>
      <c r="AB247" s="337" t="str" cm="1">
        <f t="array" ref="AB247">IF($C247&lt;&gt;"bitte wählen",INDEX(ListeLebensmittelIFEU,AB$189+1,$P247),"")</f>
        <v/>
      </c>
      <c r="AC247" s="337" t="str" cm="1">
        <f t="array" ref="AC247">IF($C247&lt;&gt;"bitte wählen",INDEX(ListeLebensmittelIFEU,AC$189+1,$P247),"")</f>
        <v/>
      </c>
      <c r="AD247" s="337" t="str" cm="1">
        <f t="array" ref="AD247">IF($C247&lt;&gt;"bitte wählen",INDEX(ListeLebensmittelIFEU,AD$189+1,$P247),"")</f>
        <v/>
      </c>
      <c r="AE247" s="337" t="str" cm="1">
        <f t="array" ref="AE247">IF($C247&lt;&gt;"bitte wählen",INDEX(ListeLebensmittelIFEU,AE$189+1,$P247),"")</f>
        <v/>
      </c>
      <c r="AF247" s="337" t="str" cm="1">
        <f t="array" ref="AF247">IF($C247&lt;&gt;"bitte wählen",INDEX(ListeLebensmittelIFEU,AF$189+1,$P247),"")</f>
        <v/>
      </c>
      <c r="AG247" s="337" t="str" cm="1">
        <f t="array" ref="AG247">IF($C247&lt;&gt;"bitte wählen",INDEX(ListeLebensmittelIFEU,AG$189+1,$P247),"")</f>
        <v/>
      </c>
      <c r="AH247" s="337" t="str" cm="1">
        <f t="array" ref="AH247">IF($C247&lt;&gt;"bitte wählen",INDEX(ListeLebensmittelIFEU,AH$189+1,$P247),"")</f>
        <v/>
      </c>
      <c r="AI247" s="337" t="str" cm="1">
        <f t="array" ref="AI247">IF($C247&lt;&gt;"bitte wählen",INDEX(ListeLebensmittelIFEU,AI$189+1,$P247),"")</f>
        <v/>
      </c>
      <c r="AJ247" s="337" t="str" cm="1">
        <f t="array" ref="AJ247">IF($C247&lt;&gt;"bitte wählen",INDEX(ListeLebensmittelIFEU,AJ$189+1,$P247),"")</f>
        <v/>
      </c>
      <c r="AK247" s="337" t="str" cm="1">
        <f t="array" ref="AK247">IF($C247&lt;&gt;"bitte wählen",INDEX(ListeLebensmittelIFEU,AK$189+1,$P247),"")</f>
        <v/>
      </c>
      <c r="AL247" s="337" t="str" cm="1">
        <f t="array" ref="AL247">IF($C247&lt;&gt;"bitte wählen",INDEX(ListeLebensmittelIFEU,AL$189+1,$P247),"")</f>
        <v/>
      </c>
      <c r="AM247" s="337" t="str" cm="1">
        <f t="array" ref="AM247">IF($C247&lt;&gt;"bitte wählen",INDEX(ListeLebensmittelIFEU,AM$189+1,$P247),"")</f>
        <v/>
      </c>
      <c r="AN247" s="337" t="str" cm="1">
        <f t="array" ref="AN247">IF($C247&lt;&gt;"bitte wählen",INDEX(ListeLebensmittelIFEU,AN$189+1,$P247),"")</f>
        <v/>
      </c>
      <c r="AO247" s="337" t="str" cm="1">
        <f t="array" ref="AO247">IF($C247&lt;&gt;"bitte wählen",INDEX(ListeLebensmittelIFEU,AO$189+1,$P247),"")</f>
        <v/>
      </c>
      <c r="AP247" s="337" t="str" cm="1">
        <f t="array" ref="AP247">IF($C247&lt;&gt;"bitte wählen",INDEX(ListeLebensmittelIFEU,AP$189+1,$P247),"")</f>
        <v/>
      </c>
      <c r="AQ247" s="337" t="str" cm="1">
        <f t="array" ref="AQ247">IF($C247&lt;&gt;"bitte wählen",INDEX(ListeLebensmittelIFEU,AQ$189+1,$P247),"")</f>
        <v/>
      </c>
      <c r="AR247" s="337" t="str" cm="1">
        <f t="array" ref="AR247">IF($C247&lt;&gt;"bitte wählen",INDEX(ListeLebensmittelIFEU,AR$189+1,$P247),"")</f>
        <v/>
      </c>
      <c r="AS247" s="337" t="str" cm="1">
        <f t="array" ref="AS247">IF($C247&lt;&gt;"bitte wählen",INDEX(ListeLebensmittelIFEU,AS$189+1,$P247),"")</f>
        <v/>
      </c>
      <c r="AT247" s="337" t="str" cm="1">
        <f t="array" ref="AT247">IF($C247&lt;&gt;"bitte wählen",INDEX(ListeLebensmittelIFEU,AT$189+1,$P247),"")</f>
        <v/>
      </c>
      <c r="AU247" s="337" t="str" cm="1">
        <f t="array" ref="AU247">IF($C247&lt;&gt;"bitte wählen",INDEX(ListeLebensmittelIFEU,AU$189+1,$P247),"")</f>
        <v/>
      </c>
      <c r="AV247" s="337" t="str" cm="1">
        <f t="array" ref="AV247">IF($C247&lt;&gt;"bitte wählen",INDEX(ListeLebensmittelIFEU,AV$189+1,$P247),"")</f>
        <v/>
      </c>
      <c r="AW247" s="337" t="str" cm="1">
        <f t="array" ref="AW247">IF($C247&lt;&gt;"bitte wählen",INDEX(ListeLebensmittelIFEU,AW$189+1,$P247),"")</f>
        <v/>
      </c>
      <c r="AX247" s="337" t="str" cm="1">
        <f t="array" ref="AX247">IF($C247&lt;&gt;"bitte wählen",INDEX(ListeLebensmittelIFEU,AX$189+1,$P247),"")</f>
        <v/>
      </c>
      <c r="AY247" s="337" t="str" cm="1">
        <f t="array" ref="AY247">IF($C247&lt;&gt;"bitte wählen",INDEX(ListeLebensmittelIFEU,AY$189+1,$P247),"")</f>
        <v/>
      </c>
      <c r="AZ247" s="338" t="str" cm="1">
        <f t="array" ref="AZ247">IF($C247&lt;&gt;"bitte wählen",INDEX(ListeLebensmittelIFEU,AZ$189+1,$P247),"")</f>
        <v/>
      </c>
    </row>
    <row r="248" spans="1:52" x14ac:dyDescent="0.3">
      <c r="B248" s="105" t="str">
        <f>IF(R248,IF(E248/IF(D240="",1,D240)&lt;GewichtMittagessenMin,"Hinweis: Dies scheint eine relativ kleine Portion zu sein",IF(E248/IF(D240="",1,D240)&gt;GewichtMittagessenMax,"Hinweis: Dies scheint eine relativ große Portion zu sein","")),"")</f>
        <v/>
      </c>
      <c r="C248" s="78"/>
      <c r="D248" s="78"/>
      <c r="E248" s="355">
        <f>SUM(E242:E247)-SUMIF(C242:C247,"Getränke",E242:E247)</f>
        <v>0</v>
      </c>
      <c r="G248" s="15" t="s">
        <v>622</v>
      </c>
      <c r="H248" s="293">
        <f>SUM(H242:H247)</f>
        <v>0</v>
      </c>
      <c r="Q248" s="383" t="s">
        <v>1030</v>
      </c>
      <c r="R248" s="386" t="b">
        <f>IF(SUM(R242:R247)&gt;0,TRUE,FALSE)</f>
        <v>0</v>
      </c>
      <c r="S248" s="383">
        <f>SUM(S242:S247)</f>
        <v>0</v>
      </c>
      <c r="T248" s="383" t="s">
        <v>1029</v>
      </c>
      <c r="U248" s="383" t="str">
        <f>IF(R248,IF(S248&gt;9,10,IF(S248&gt;0,1,0)),"")</f>
        <v/>
      </c>
    </row>
    <row r="249" spans="1:52" x14ac:dyDescent="0.3">
      <c r="B249" s="385" t="str">
        <f>IF(U248=0,"🌱 vegan","")</f>
        <v/>
      </c>
      <c r="C249" s="105" t="str">
        <f>IF(U248=1,"Ⓥ vegetarisch","")</f>
        <v/>
      </c>
      <c r="D249" s="384" t="str">
        <f>IF(U248=10,"🥩 mit Fleisch/Fisch","")</f>
        <v/>
      </c>
      <c r="E249" s="78"/>
      <c r="G249" s="15" t="s">
        <v>623</v>
      </c>
      <c r="H249" s="294">
        <f>IF(D240="",H248,H248/D240)</f>
        <v>0</v>
      </c>
    </row>
    <row r="250" spans="1:52" x14ac:dyDescent="0.3">
      <c r="T250" s="84"/>
    </row>
    <row r="251" spans="1:52" ht="18" thickBot="1" x14ac:dyDescent="0.4">
      <c r="B251" s="496" t="str">
        <f>"CO₂-Bilanz Gericht 6: "&amp;D252</f>
        <v>CO₂-Bilanz Gericht 6: Menü 6</v>
      </c>
      <c r="C251" s="496"/>
      <c r="D251" s="496"/>
      <c r="E251" s="496"/>
      <c r="T251" s="84"/>
    </row>
    <row r="252" spans="1:52" ht="15" thickTop="1" x14ac:dyDescent="0.3">
      <c r="B252" t="s">
        <v>994</v>
      </c>
      <c r="D252" s="288" t="s">
        <v>997</v>
      </c>
      <c r="F252" s="78"/>
      <c r="G252" s="78"/>
      <c r="H252" s="78"/>
      <c r="I252" s="78"/>
    </row>
    <row r="253" spans="1:52" x14ac:dyDescent="0.3">
      <c r="B253" t="s">
        <v>995</v>
      </c>
      <c r="C253" s="78"/>
      <c r="D253" s="291">
        <v>1</v>
      </c>
      <c r="E253" s="301" t="str">
        <f>IF(ISNUMBER(FIND("g",_xlfn.CONCAT(E255:E260))),"Bitte Menge als reine Zahl ohne Zusatz g eingeben","")</f>
        <v/>
      </c>
      <c r="G253" s="78"/>
      <c r="H253" s="78"/>
      <c r="T253" s="329" t="s">
        <v>918</v>
      </c>
      <c r="U253" s="330"/>
      <c r="V253" s="330"/>
      <c r="W253" s="330"/>
      <c r="X253" s="330"/>
      <c r="Y253" s="330"/>
    </row>
    <row r="254" spans="1:52" ht="44.4" x14ac:dyDescent="0.35">
      <c r="A254" s="376" t="s">
        <v>1217</v>
      </c>
      <c r="C254" s="297" t="s">
        <v>993</v>
      </c>
      <c r="D254" s="313" t="s">
        <v>992</v>
      </c>
      <c r="E254" s="298" t="s">
        <v>323</v>
      </c>
      <c r="F254" s="298" t="s">
        <v>324</v>
      </c>
      <c r="G254" s="296" t="s">
        <v>534</v>
      </c>
      <c r="H254" s="296" t="s">
        <v>535</v>
      </c>
      <c r="P254" s="356" t="s">
        <v>956</v>
      </c>
      <c r="Q254" s="356" t="s">
        <v>957</v>
      </c>
      <c r="R254" s="357" t="s">
        <v>958</v>
      </c>
      <c r="S254" s="357" t="s">
        <v>1028</v>
      </c>
      <c r="T254" s="361">
        <v>1</v>
      </c>
      <c r="U254" s="362">
        <v>2</v>
      </c>
      <c r="V254" s="362">
        <v>3</v>
      </c>
      <c r="W254" s="362">
        <v>4</v>
      </c>
      <c r="X254" s="362">
        <v>5</v>
      </c>
      <c r="Y254" s="362">
        <v>6</v>
      </c>
      <c r="Z254" s="362">
        <v>7</v>
      </c>
      <c r="AA254" s="362">
        <v>8</v>
      </c>
      <c r="AB254" s="362">
        <v>9</v>
      </c>
      <c r="AC254" s="362">
        <v>10</v>
      </c>
      <c r="AD254" s="362">
        <v>11</v>
      </c>
      <c r="AE254" s="362">
        <v>12</v>
      </c>
      <c r="AF254" s="362">
        <v>13</v>
      </c>
      <c r="AG254" s="362">
        <v>14</v>
      </c>
      <c r="AH254" s="362">
        <v>15</v>
      </c>
      <c r="AI254" s="362">
        <v>16</v>
      </c>
      <c r="AJ254" s="362">
        <v>17</v>
      </c>
      <c r="AK254" s="362">
        <v>18</v>
      </c>
      <c r="AL254" s="362">
        <v>19</v>
      </c>
      <c r="AM254" s="362">
        <v>20</v>
      </c>
      <c r="AN254" s="362">
        <v>21</v>
      </c>
      <c r="AO254" s="362">
        <v>22</v>
      </c>
      <c r="AP254" s="362">
        <v>23</v>
      </c>
      <c r="AQ254" s="362">
        <v>24</v>
      </c>
      <c r="AR254" s="362">
        <v>25</v>
      </c>
      <c r="AS254" s="362">
        <v>26</v>
      </c>
      <c r="AT254" s="362">
        <v>27</v>
      </c>
      <c r="AU254" s="362">
        <v>28</v>
      </c>
      <c r="AV254" s="362">
        <v>29</v>
      </c>
      <c r="AW254" s="362">
        <v>30</v>
      </c>
      <c r="AX254" s="362">
        <v>31</v>
      </c>
      <c r="AY254" s="362">
        <v>32</v>
      </c>
      <c r="AZ254" s="363">
        <v>33</v>
      </c>
    </row>
    <row r="255" spans="1:52" x14ac:dyDescent="0.3">
      <c r="B255" t="s">
        <v>13</v>
      </c>
      <c r="C255" s="471" t="s">
        <v>27</v>
      </c>
      <c r="D255" s="472"/>
      <c r="E255" s="470"/>
      <c r="F255" s="473" t="s">
        <v>12</v>
      </c>
      <c r="G255" s="350" t="str">
        <f t="shared" ref="G255:G260" si="37">IF(D255="","",R255*IF(F255="Ja",FaktorBeiLokalemProdukt,1))</f>
        <v/>
      </c>
      <c r="H255" s="293" t="str">
        <f t="shared" ref="H255:H257" si="38">IF(D255="","",E255*G255)</f>
        <v/>
      </c>
      <c r="P255" s="331">
        <f t="shared" ref="P255:P260" si="39">VLOOKUP(C255,$C$457:$D$464,2,FALSE)</f>
        <v>22</v>
      </c>
      <c r="Q255" s="332" t="e">
        <f>MATCH(D255,T255:AZ255,0)</f>
        <v>#N/A</v>
      </c>
      <c r="R255" s="358">
        <f t="shared" ref="R255:R260" si="40">_xlfn.IFNA(IF(D255&lt;&gt;"",VLOOKUP(D255,$C$544:$E$774,2,FALSE),0),0)</f>
        <v>0</v>
      </c>
      <c r="S255" s="358">
        <f t="shared" ref="S255:S260" si="41">_xlfn.IFNA(IF(D255&lt;&gt;"",VLOOKUP(D255,$C$544:$E$774,3,FALSE),0),0)</f>
        <v>0</v>
      </c>
      <c r="T255" s="333" t="str" cm="1">
        <f t="array" ref="T255">IF($C255&lt;&gt;"bitte wählen",INDEX(ListeLebensmittelIFEU,T$189+1,$P255),"")</f>
        <v/>
      </c>
      <c r="U255" s="334" t="str" cm="1">
        <f t="array" ref="U255">IF($C255&lt;&gt;"bitte wählen",INDEX(ListeLebensmittelIFEU,U$189+1,$P255),"")</f>
        <v/>
      </c>
      <c r="V255" s="334" t="str" cm="1">
        <f t="array" ref="V255">IF($C255&lt;&gt;"bitte wählen",INDEX(ListeLebensmittelIFEU,V$189+1,$P255),"")</f>
        <v/>
      </c>
      <c r="W255" s="334" t="str" cm="1">
        <f t="array" ref="W255">IF($C255&lt;&gt;"bitte wählen",INDEX(ListeLebensmittelIFEU,W$189+1,$P255),"")</f>
        <v/>
      </c>
      <c r="X255" s="334" t="str" cm="1">
        <f t="array" ref="X255">IF($C255&lt;&gt;"bitte wählen",INDEX(ListeLebensmittelIFEU,X$189+1,$P255),"")</f>
        <v/>
      </c>
      <c r="Y255" s="334" t="str" cm="1">
        <f t="array" ref="Y255">IF($C255&lt;&gt;"bitte wählen",INDEX(ListeLebensmittelIFEU,Y$189+1,$P255),"")</f>
        <v/>
      </c>
      <c r="Z255" s="334" t="str" cm="1">
        <f t="array" ref="Z255">IF($C255&lt;&gt;"bitte wählen",INDEX(ListeLebensmittelIFEU,Z$189+1,$P255),"")</f>
        <v/>
      </c>
      <c r="AA255" s="334" t="str" cm="1">
        <f t="array" ref="AA255">IF($C255&lt;&gt;"bitte wählen",INDEX(ListeLebensmittelIFEU,AA$189+1,$P255),"")</f>
        <v/>
      </c>
      <c r="AB255" s="334" t="str" cm="1">
        <f t="array" ref="AB255">IF($C255&lt;&gt;"bitte wählen",INDEX(ListeLebensmittelIFEU,AB$189+1,$P255),"")</f>
        <v/>
      </c>
      <c r="AC255" s="334" t="str" cm="1">
        <f t="array" ref="AC255">IF($C255&lt;&gt;"bitte wählen",INDEX(ListeLebensmittelIFEU,AC$189+1,$P255),"")</f>
        <v/>
      </c>
      <c r="AD255" s="334" t="str" cm="1">
        <f t="array" ref="AD255">IF($C255&lt;&gt;"bitte wählen",INDEX(ListeLebensmittelIFEU,AD$189+1,$P255),"")</f>
        <v/>
      </c>
      <c r="AE255" s="334" t="str" cm="1">
        <f t="array" ref="AE255">IF($C255&lt;&gt;"bitte wählen",INDEX(ListeLebensmittelIFEU,AE$189+1,$P255),"")</f>
        <v/>
      </c>
      <c r="AF255" s="334" t="str" cm="1">
        <f t="array" ref="AF255">IF($C255&lt;&gt;"bitte wählen",INDEX(ListeLebensmittelIFEU,AF$189+1,$P255),"")</f>
        <v/>
      </c>
      <c r="AG255" s="334" t="str" cm="1">
        <f t="array" ref="AG255">IF($C255&lt;&gt;"bitte wählen",INDEX(ListeLebensmittelIFEU,AG$189+1,$P255),"")</f>
        <v/>
      </c>
      <c r="AH255" s="334" t="str" cm="1">
        <f t="array" ref="AH255">IF($C255&lt;&gt;"bitte wählen",INDEX(ListeLebensmittelIFEU,AH$189+1,$P255),"")</f>
        <v/>
      </c>
      <c r="AI255" s="334" t="str" cm="1">
        <f t="array" ref="AI255">IF($C255&lt;&gt;"bitte wählen",INDEX(ListeLebensmittelIFEU,AI$189+1,$P255),"")</f>
        <v/>
      </c>
      <c r="AJ255" s="334" t="str" cm="1">
        <f t="array" ref="AJ255">IF($C255&lt;&gt;"bitte wählen",INDEX(ListeLebensmittelIFEU,AJ$189+1,$P255),"")</f>
        <v/>
      </c>
      <c r="AK255" s="334" t="str" cm="1">
        <f t="array" ref="AK255">IF($C255&lt;&gt;"bitte wählen",INDEX(ListeLebensmittelIFEU,AK$189+1,$P255),"")</f>
        <v/>
      </c>
      <c r="AL255" s="334" t="str" cm="1">
        <f t="array" ref="AL255">IF($C255&lt;&gt;"bitte wählen",INDEX(ListeLebensmittelIFEU,AL$189+1,$P255),"")</f>
        <v/>
      </c>
      <c r="AM255" s="334" t="str" cm="1">
        <f t="array" ref="AM255">IF($C255&lt;&gt;"bitte wählen",INDEX(ListeLebensmittelIFEU,AM$189+1,$P255),"")</f>
        <v/>
      </c>
      <c r="AN255" s="334" t="str" cm="1">
        <f t="array" ref="AN255">IF($C255&lt;&gt;"bitte wählen",INDEX(ListeLebensmittelIFEU,AN$189+1,$P255),"")</f>
        <v/>
      </c>
      <c r="AO255" s="334" t="str" cm="1">
        <f t="array" ref="AO255">IF($C255&lt;&gt;"bitte wählen",INDEX(ListeLebensmittelIFEU,AO$189+1,$P255),"")</f>
        <v/>
      </c>
      <c r="AP255" s="334" t="str" cm="1">
        <f t="array" ref="AP255">IF($C255&lt;&gt;"bitte wählen",INDEX(ListeLebensmittelIFEU,AP$189+1,$P255),"")</f>
        <v/>
      </c>
      <c r="AQ255" s="334" t="str" cm="1">
        <f t="array" ref="AQ255">IF($C255&lt;&gt;"bitte wählen",INDEX(ListeLebensmittelIFEU,AQ$189+1,$P255),"")</f>
        <v/>
      </c>
      <c r="AR255" s="334" t="str" cm="1">
        <f t="array" ref="AR255">IF($C255&lt;&gt;"bitte wählen",INDEX(ListeLebensmittelIFEU,AR$189+1,$P255),"")</f>
        <v/>
      </c>
      <c r="AS255" s="334" t="str" cm="1">
        <f t="array" ref="AS255">IF($C255&lt;&gt;"bitte wählen",INDEX(ListeLebensmittelIFEU,AS$189+1,$P255),"")</f>
        <v/>
      </c>
      <c r="AT255" s="334" t="str" cm="1">
        <f t="array" ref="AT255">IF($C255&lt;&gt;"bitte wählen",INDEX(ListeLebensmittelIFEU,AT$189+1,$P255),"")</f>
        <v/>
      </c>
      <c r="AU255" s="334" t="str" cm="1">
        <f t="array" ref="AU255">IF($C255&lt;&gt;"bitte wählen",INDEX(ListeLebensmittelIFEU,AU$189+1,$P255),"")</f>
        <v/>
      </c>
      <c r="AV255" s="334" t="str" cm="1">
        <f t="array" ref="AV255">IF($C255&lt;&gt;"bitte wählen",INDEX(ListeLebensmittelIFEU,AV$189+1,$P255),"")</f>
        <v/>
      </c>
      <c r="AW255" s="334" t="str" cm="1">
        <f t="array" ref="AW255">IF($C255&lt;&gt;"bitte wählen",INDEX(ListeLebensmittelIFEU,AW$189+1,$P255),"")</f>
        <v/>
      </c>
      <c r="AX255" s="334" t="str" cm="1">
        <f t="array" ref="AX255">IF($C255&lt;&gt;"bitte wählen",INDEX(ListeLebensmittelIFEU,AX$189+1,$P255),"")</f>
        <v/>
      </c>
      <c r="AY255" s="334" t="str" cm="1">
        <f t="array" ref="AY255">IF($C255&lt;&gt;"bitte wählen",INDEX(ListeLebensmittelIFEU,AY$189+1,$P255),"")</f>
        <v/>
      </c>
      <c r="AZ255" s="335" t="str" cm="1">
        <f t="array" ref="AZ255">IF($C255&lt;&gt;"bitte wählen",INDEX(ListeLebensmittelIFEU,AZ$189+1,$P255),"")</f>
        <v/>
      </c>
    </row>
    <row r="256" spans="1:52" x14ac:dyDescent="0.3">
      <c r="B256" t="s">
        <v>327</v>
      </c>
      <c r="C256" s="471" t="s">
        <v>27</v>
      </c>
      <c r="D256" s="472"/>
      <c r="E256" s="349"/>
      <c r="F256" s="473" t="s">
        <v>12</v>
      </c>
      <c r="G256" s="350" t="str">
        <f t="shared" si="37"/>
        <v/>
      </c>
      <c r="H256" s="293" t="str">
        <f t="shared" si="38"/>
        <v/>
      </c>
      <c r="P256" s="333">
        <f t="shared" si="39"/>
        <v>22</v>
      </c>
      <c r="Q256" s="334" t="e">
        <f t="shared" ref="Q256:Q260" si="42">MATCH(D256,T256:AZ256,0)</f>
        <v>#N/A</v>
      </c>
      <c r="R256" s="359">
        <f t="shared" si="40"/>
        <v>0</v>
      </c>
      <c r="S256" s="380">
        <f t="shared" si="41"/>
        <v>0</v>
      </c>
      <c r="T256" s="333" t="str" cm="1">
        <f t="array" ref="T256">IF($C256&lt;&gt;"bitte wählen",INDEX(ListeLebensmittelIFEU,T$189+1,$P256),"")</f>
        <v/>
      </c>
      <c r="U256" s="334" t="str" cm="1">
        <f t="array" ref="U256">IF($C256&lt;&gt;"bitte wählen",INDEX(ListeLebensmittelIFEU,U$189+1,$P256),"")</f>
        <v/>
      </c>
      <c r="V256" s="334" t="str" cm="1">
        <f t="array" ref="V256">IF($C256&lt;&gt;"bitte wählen",INDEX(ListeLebensmittelIFEU,V$189+1,$P256),"")</f>
        <v/>
      </c>
      <c r="W256" s="334" t="str" cm="1">
        <f t="array" ref="W256">IF($C256&lt;&gt;"bitte wählen",INDEX(ListeLebensmittelIFEU,W$189+1,$P256),"")</f>
        <v/>
      </c>
      <c r="X256" s="334" t="str" cm="1">
        <f t="array" ref="X256">IF($C256&lt;&gt;"bitte wählen",INDEX(ListeLebensmittelIFEU,X$189+1,$P256),"")</f>
        <v/>
      </c>
      <c r="Y256" s="334" t="str" cm="1">
        <f t="array" ref="Y256">IF($C256&lt;&gt;"bitte wählen",INDEX(ListeLebensmittelIFEU,Y$189+1,$P256),"")</f>
        <v/>
      </c>
      <c r="Z256" s="334" t="str" cm="1">
        <f t="array" ref="Z256">IF($C256&lt;&gt;"bitte wählen",INDEX(ListeLebensmittelIFEU,Z$189+1,$P256),"")</f>
        <v/>
      </c>
      <c r="AA256" s="334" t="str" cm="1">
        <f t="array" ref="AA256">IF($C256&lt;&gt;"bitte wählen",INDEX(ListeLebensmittelIFEU,AA$189+1,$P256),"")</f>
        <v/>
      </c>
      <c r="AB256" s="334" t="str" cm="1">
        <f t="array" ref="AB256">IF($C256&lt;&gt;"bitte wählen",INDEX(ListeLebensmittelIFEU,AB$189+1,$P256),"")</f>
        <v/>
      </c>
      <c r="AC256" s="334" t="str" cm="1">
        <f t="array" ref="AC256">IF($C256&lt;&gt;"bitte wählen",INDEX(ListeLebensmittelIFEU,AC$189+1,$P256),"")</f>
        <v/>
      </c>
      <c r="AD256" s="334" t="str" cm="1">
        <f t="array" ref="AD256">IF($C256&lt;&gt;"bitte wählen",INDEX(ListeLebensmittelIFEU,AD$189+1,$P256),"")</f>
        <v/>
      </c>
      <c r="AE256" s="334" t="str" cm="1">
        <f t="array" ref="AE256">IF($C256&lt;&gt;"bitte wählen",INDEX(ListeLebensmittelIFEU,AE$189+1,$P256),"")</f>
        <v/>
      </c>
      <c r="AF256" s="334" t="str" cm="1">
        <f t="array" ref="AF256">IF($C256&lt;&gt;"bitte wählen",INDEX(ListeLebensmittelIFEU,AF$189+1,$P256),"")</f>
        <v/>
      </c>
      <c r="AG256" s="334" t="str" cm="1">
        <f t="array" ref="AG256">IF($C256&lt;&gt;"bitte wählen",INDEX(ListeLebensmittelIFEU,AG$189+1,$P256),"")</f>
        <v/>
      </c>
      <c r="AH256" s="334" t="str" cm="1">
        <f t="array" ref="AH256">IF($C256&lt;&gt;"bitte wählen",INDEX(ListeLebensmittelIFEU,AH$189+1,$P256),"")</f>
        <v/>
      </c>
      <c r="AI256" s="334" t="str" cm="1">
        <f t="array" ref="AI256">IF($C256&lt;&gt;"bitte wählen",INDEX(ListeLebensmittelIFEU,AI$189+1,$P256),"")</f>
        <v/>
      </c>
      <c r="AJ256" s="334" t="str" cm="1">
        <f t="array" ref="AJ256">IF($C256&lt;&gt;"bitte wählen",INDEX(ListeLebensmittelIFEU,AJ$189+1,$P256),"")</f>
        <v/>
      </c>
      <c r="AK256" s="334" t="str" cm="1">
        <f t="array" ref="AK256">IF($C256&lt;&gt;"bitte wählen",INDEX(ListeLebensmittelIFEU,AK$189+1,$P256),"")</f>
        <v/>
      </c>
      <c r="AL256" s="334" t="str" cm="1">
        <f t="array" ref="AL256">IF($C256&lt;&gt;"bitte wählen",INDEX(ListeLebensmittelIFEU,AL$189+1,$P256),"")</f>
        <v/>
      </c>
      <c r="AM256" s="334" t="str" cm="1">
        <f t="array" ref="AM256">IF($C256&lt;&gt;"bitte wählen",INDEX(ListeLebensmittelIFEU,AM$189+1,$P256),"")</f>
        <v/>
      </c>
      <c r="AN256" s="334" t="str" cm="1">
        <f t="array" ref="AN256">IF($C256&lt;&gt;"bitte wählen",INDEX(ListeLebensmittelIFEU,AN$189+1,$P256),"")</f>
        <v/>
      </c>
      <c r="AO256" s="334" t="str" cm="1">
        <f t="array" ref="AO256">IF($C256&lt;&gt;"bitte wählen",INDEX(ListeLebensmittelIFEU,AO$189+1,$P256),"")</f>
        <v/>
      </c>
      <c r="AP256" s="334" t="str" cm="1">
        <f t="array" ref="AP256">IF($C256&lt;&gt;"bitte wählen",INDEX(ListeLebensmittelIFEU,AP$189+1,$P256),"")</f>
        <v/>
      </c>
      <c r="AQ256" s="334" t="str" cm="1">
        <f t="array" ref="AQ256">IF($C256&lt;&gt;"bitte wählen",INDEX(ListeLebensmittelIFEU,AQ$189+1,$P256),"")</f>
        <v/>
      </c>
      <c r="AR256" s="334" t="str" cm="1">
        <f t="array" ref="AR256">IF($C256&lt;&gt;"bitte wählen",INDEX(ListeLebensmittelIFEU,AR$189+1,$P256),"")</f>
        <v/>
      </c>
      <c r="AS256" s="334" t="str" cm="1">
        <f t="array" ref="AS256">IF($C256&lt;&gt;"bitte wählen",INDEX(ListeLebensmittelIFEU,AS$189+1,$P256),"")</f>
        <v/>
      </c>
      <c r="AT256" s="334" t="str" cm="1">
        <f t="array" ref="AT256">IF($C256&lt;&gt;"bitte wählen",INDEX(ListeLebensmittelIFEU,AT$189+1,$P256),"")</f>
        <v/>
      </c>
      <c r="AU256" s="334" t="str" cm="1">
        <f t="array" ref="AU256">IF($C256&lt;&gt;"bitte wählen",INDEX(ListeLebensmittelIFEU,AU$189+1,$P256),"")</f>
        <v/>
      </c>
      <c r="AV256" s="334" t="str" cm="1">
        <f t="array" ref="AV256">IF($C256&lt;&gt;"bitte wählen",INDEX(ListeLebensmittelIFEU,AV$189+1,$P256),"")</f>
        <v/>
      </c>
      <c r="AW256" s="334" t="str" cm="1">
        <f t="array" ref="AW256">IF($C256&lt;&gt;"bitte wählen",INDEX(ListeLebensmittelIFEU,AW$189+1,$P256),"")</f>
        <v/>
      </c>
      <c r="AX256" s="334" t="str" cm="1">
        <f t="array" ref="AX256">IF($C256&lt;&gt;"bitte wählen",INDEX(ListeLebensmittelIFEU,AX$189+1,$P256),"")</f>
        <v/>
      </c>
      <c r="AY256" s="334" t="str" cm="1">
        <f t="array" ref="AY256">IF($C256&lt;&gt;"bitte wählen",INDEX(ListeLebensmittelIFEU,AY$189+1,$P256),"")</f>
        <v/>
      </c>
      <c r="AZ256" s="335" t="str" cm="1">
        <f t="array" ref="AZ256">IF($C256&lt;&gt;"bitte wählen",INDEX(ListeLebensmittelIFEU,AZ$189+1,$P256),"")</f>
        <v/>
      </c>
    </row>
    <row r="257" spans="1:52" x14ac:dyDescent="0.3">
      <c r="B257" t="s">
        <v>328</v>
      </c>
      <c r="C257" s="471" t="s">
        <v>27</v>
      </c>
      <c r="D257" s="472"/>
      <c r="E257" s="349"/>
      <c r="F257" s="473" t="s">
        <v>12</v>
      </c>
      <c r="G257" s="350" t="str">
        <f t="shared" si="37"/>
        <v/>
      </c>
      <c r="H257" s="293" t="str">
        <f t="shared" si="38"/>
        <v/>
      </c>
      <c r="P257" s="333">
        <f t="shared" si="39"/>
        <v>22</v>
      </c>
      <c r="Q257" s="334" t="e">
        <f t="shared" si="42"/>
        <v>#N/A</v>
      </c>
      <c r="R257" s="359">
        <f t="shared" si="40"/>
        <v>0</v>
      </c>
      <c r="S257" s="380">
        <f t="shared" si="41"/>
        <v>0</v>
      </c>
      <c r="T257" s="333" t="str" cm="1">
        <f t="array" ref="T257">IF($C257&lt;&gt;"bitte wählen",INDEX(ListeLebensmittelIFEU,T$189+1,$P257),"")</f>
        <v/>
      </c>
      <c r="U257" s="334" t="str" cm="1">
        <f t="array" ref="U257">IF($C257&lt;&gt;"bitte wählen",INDEX(ListeLebensmittelIFEU,U$189+1,$P257),"")</f>
        <v/>
      </c>
      <c r="V257" s="334" t="str" cm="1">
        <f t="array" ref="V257">IF($C257&lt;&gt;"bitte wählen",INDEX(ListeLebensmittelIFEU,V$189+1,$P257),"")</f>
        <v/>
      </c>
      <c r="W257" s="334" t="str" cm="1">
        <f t="array" ref="W257">IF($C257&lt;&gt;"bitte wählen",INDEX(ListeLebensmittelIFEU,W$189+1,$P257),"")</f>
        <v/>
      </c>
      <c r="X257" s="334" t="str" cm="1">
        <f t="array" ref="X257">IF($C257&lt;&gt;"bitte wählen",INDEX(ListeLebensmittelIFEU,X$189+1,$P257),"")</f>
        <v/>
      </c>
      <c r="Y257" s="334" t="str" cm="1">
        <f t="array" ref="Y257">IF($C257&lt;&gt;"bitte wählen",INDEX(ListeLebensmittelIFEU,Y$189+1,$P257),"")</f>
        <v/>
      </c>
      <c r="Z257" s="334" t="str" cm="1">
        <f t="array" ref="Z257">IF($C257&lt;&gt;"bitte wählen",INDEX(ListeLebensmittelIFEU,Z$189+1,$P257),"")</f>
        <v/>
      </c>
      <c r="AA257" s="334" t="str" cm="1">
        <f t="array" ref="AA257">IF($C257&lt;&gt;"bitte wählen",INDEX(ListeLebensmittelIFEU,AA$189+1,$P257),"")</f>
        <v/>
      </c>
      <c r="AB257" s="334" t="str" cm="1">
        <f t="array" ref="AB257">IF($C257&lt;&gt;"bitte wählen",INDEX(ListeLebensmittelIFEU,AB$189+1,$P257),"")</f>
        <v/>
      </c>
      <c r="AC257" s="334" t="str" cm="1">
        <f t="array" ref="AC257">IF($C257&lt;&gt;"bitte wählen",INDEX(ListeLebensmittelIFEU,AC$189+1,$P257),"")</f>
        <v/>
      </c>
      <c r="AD257" s="334" t="str" cm="1">
        <f t="array" ref="AD257">IF($C257&lt;&gt;"bitte wählen",INDEX(ListeLebensmittelIFEU,AD$189+1,$P257),"")</f>
        <v/>
      </c>
      <c r="AE257" s="334" t="str" cm="1">
        <f t="array" ref="AE257">IF($C257&lt;&gt;"bitte wählen",INDEX(ListeLebensmittelIFEU,AE$189+1,$P257),"")</f>
        <v/>
      </c>
      <c r="AF257" s="334" t="str" cm="1">
        <f t="array" ref="AF257">IF($C257&lt;&gt;"bitte wählen",INDEX(ListeLebensmittelIFEU,AF$189+1,$P257),"")</f>
        <v/>
      </c>
      <c r="AG257" s="334" t="str" cm="1">
        <f t="array" ref="AG257">IF($C257&lt;&gt;"bitte wählen",INDEX(ListeLebensmittelIFEU,AG$189+1,$P257),"")</f>
        <v/>
      </c>
      <c r="AH257" s="334" t="str" cm="1">
        <f t="array" ref="AH257">IF($C257&lt;&gt;"bitte wählen",INDEX(ListeLebensmittelIFEU,AH$189+1,$P257),"")</f>
        <v/>
      </c>
      <c r="AI257" s="334" t="str" cm="1">
        <f t="array" ref="AI257">IF($C257&lt;&gt;"bitte wählen",INDEX(ListeLebensmittelIFEU,AI$189+1,$P257),"")</f>
        <v/>
      </c>
      <c r="AJ257" s="334" t="str" cm="1">
        <f t="array" ref="AJ257">IF($C257&lt;&gt;"bitte wählen",INDEX(ListeLebensmittelIFEU,AJ$189+1,$P257),"")</f>
        <v/>
      </c>
      <c r="AK257" s="334" t="str" cm="1">
        <f t="array" ref="AK257">IF($C257&lt;&gt;"bitte wählen",INDEX(ListeLebensmittelIFEU,AK$189+1,$P257),"")</f>
        <v/>
      </c>
      <c r="AL257" s="334" t="str" cm="1">
        <f t="array" ref="AL257">IF($C257&lt;&gt;"bitte wählen",INDEX(ListeLebensmittelIFEU,AL$189+1,$P257),"")</f>
        <v/>
      </c>
      <c r="AM257" s="334" t="str" cm="1">
        <f t="array" ref="AM257">IF($C257&lt;&gt;"bitte wählen",INDEX(ListeLebensmittelIFEU,AM$189+1,$P257),"")</f>
        <v/>
      </c>
      <c r="AN257" s="334" t="str" cm="1">
        <f t="array" ref="AN257">IF($C257&lt;&gt;"bitte wählen",INDEX(ListeLebensmittelIFEU,AN$189+1,$P257),"")</f>
        <v/>
      </c>
      <c r="AO257" s="334" t="str" cm="1">
        <f t="array" ref="AO257">IF($C257&lt;&gt;"bitte wählen",INDEX(ListeLebensmittelIFEU,AO$189+1,$P257),"")</f>
        <v/>
      </c>
      <c r="AP257" s="334" t="str" cm="1">
        <f t="array" ref="AP257">IF($C257&lt;&gt;"bitte wählen",INDEX(ListeLebensmittelIFEU,AP$189+1,$P257),"")</f>
        <v/>
      </c>
      <c r="AQ257" s="334" t="str" cm="1">
        <f t="array" ref="AQ257">IF($C257&lt;&gt;"bitte wählen",INDEX(ListeLebensmittelIFEU,AQ$189+1,$P257),"")</f>
        <v/>
      </c>
      <c r="AR257" s="334" t="str" cm="1">
        <f t="array" ref="AR257">IF($C257&lt;&gt;"bitte wählen",INDEX(ListeLebensmittelIFEU,AR$189+1,$P257),"")</f>
        <v/>
      </c>
      <c r="AS257" s="334" t="str" cm="1">
        <f t="array" ref="AS257">IF($C257&lt;&gt;"bitte wählen",INDEX(ListeLebensmittelIFEU,AS$189+1,$P257),"")</f>
        <v/>
      </c>
      <c r="AT257" s="334" t="str" cm="1">
        <f t="array" ref="AT257">IF($C257&lt;&gt;"bitte wählen",INDEX(ListeLebensmittelIFEU,AT$189+1,$P257),"")</f>
        <v/>
      </c>
      <c r="AU257" s="334" t="str" cm="1">
        <f t="array" ref="AU257">IF($C257&lt;&gt;"bitte wählen",INDEX(ListeLebensmittelIFEU,AU$189+1,$P257),"")</f>
        <v/>
      </c>
      <c r="AV257" s="334" t="str" cm="1">
        <f t="array" ref="AV257">IF($C257&lt;&gt;"bitte wählen",INDEX(ListeLebensmittelIFEU,AV$189+1,$P257),"")</f>
        <v/>
      </c>
      <c r="AW257" s="334" t="str" cm="1">
        <f t="array" ref="AW257">IF($C257&lt;&gt;"bitte wählen",INDEX(ListeLebensmittelIFEU,AW$189+1,$P257),"")</f>
        <v/>
      </c>
      <c r="AX257" s="334" t="str" cm="1">
        <f t="array" ref="AX257">IF($C257&lt;&gt;"bitte wählen",INDEX(ListeLebensmittelIFEU,AX$189+1,$P257),"")</f>
        <v/>
      </c>
      <c r="AY257" s="334" t="str" cm="1">
        <f t="array" ref="AY257">IF($C257&lt;&gt;"bitte wählen",INDEX(ListeLebensmittelIFEU,AY$189+1,$P257),"")</f>
        <v/>
      </c>
      <c r="AZ257" s="335" t="str" cm="1">
        <f t="array" ref="AZ257">IF($C257&lt;&gt;"bitte wählen",INDEX(ListeLebensmittelIFEU,AZ$189+1,$P257),"")</f>
        <v/>
      </c>
    </row>
    <row r="258" spans="1:52" x14ac:dyDescent="0.3">
      <c r="B258" t="s">
        <v>329</v>
      </c>
      <c r="C258" s="471" t="s">
        <v>27</v>
      </c>
      <c r="D258" s="472"/>
      <c r="E258" s="349"/>
      <c r="F258" s="473" t="s">
        <v>12</v>
      </c>
      <c r="G258" s="350" t="str">
        <f t="shared" si="37"/>
        <v/>
      </c>
      <c r="H258" s="293" t="str">
        <f>IF(D258="","",E258*G258)</f>
        <v/>
      </c>
      <c r="P258" s="333">
        <f t="shared" si="39"/>
        <v>22</v>
      </c>
      <c r="Q258" s="334" t="e">
        <f t="shared" si="42"/>
        <v>#N/A</v>
      </c>
      <c r="R258" s="359">
        <f t="shared" si="40"/>
        <v>0</v>
      </c>
      <c r="S258" s="380">
        <f t="shared" si="41"/>
        <v>0</v>
      </c>
      <c r="T258" s="333" t="str" cm="1">
        <f t="array" ref="T258">IF($C258&lt;&gt;"bitte wählen",INDEX(ListeLebensmittelIFEU,T$189+1,$P258),"")</f>
        <v/>
      </c>
      <c r="U258" s="334" t="str" cm="1">
        <f t="array" ref="U258">IF($C258&lt;&gt;"bitte wählen",INDEX(ListeLebensmittelIFEU,U$189+1,$P258),"")</f>
        <v/>
      </c>
      <c r="V258" s="334" t="str" cm="1">
        <f t="array" ref="V258">IF($C258&lt;&gt;"bitte wählen",INDEX(ListeLebensmittelIFEU,V$189+1,$P258),"")</f>
        <v/>
      </c>
      <c r="W258" s="334" t="str" cm="1">
        <f t="array" ref="W258">IF($C258&lt;&gt;"bitte wählen",INDEX(ListeLebensmittelIFEU,W$189+1,$P258),"")</f>
        <v/>
      </c>
      <c r="X258" s="334" t="str" cm="1">
        <f t="array" ref="X258">IF($C258&lt;&gt;"bitte wählen",INDEX(ListeLebensmittelIFEU,X$189+1,$P258),"")</f>
        <v/>
      </c>
      <c r="Y258" s="334" t="str" cm="1">
        <f t="array" ref="Y258">IF($C258&lt;&gt;"bitte wählen",INDEX(ListeLebensmittelIFEU,Y$189+1,$P258),"")</f>
        <v/>
      </c>
      <c r="Z258" s="334" t="str" cm="1">
        <f t="array" ref="Z258">IF($C258&lt;&gt;"bitte wählen",INDEX(ListeLebensmittelIFEU,Z$189+1,$P258),"")</f>
        <v/>
      </c>
      <c r="AA258" s="334" t="str" cm="1">
        <f t="array" ref="AA258">IF($C258&lt;&gt;"bitte wählen",INDEX(ListeLebensmittelIFEU,AA$189+1,$P258),"")</f>
        <v/>
      </c>
      <c r="AB258" s="334" t="str" cm="1">
        <f t="array" ref="AB258">IF($C258&lt;&gt;"bitte wählen",INDEX(ListeLebensmittelIFEU,AB$189+1,$P258),"")</f>
        <v/>
      </c>
      <c r="AC258" s="334" t="str" cm="1">
        <f t="array" ref="AC258">IF($C258&lt;&gt;"bitte wählen",INDEX(ListeLebensmittelIFEU,AC$189+1,$P258),"")</f>
        <v/>
      </c>
      <c r="AD258" s="334" t="str" cm="1">
        <f t="array" ref="AD258">IF($C258&lt;&gt;"bitte wählen",INDEX(ListeLebensmittelIFEU,AD$189+1,$P258),"")</f>
        <v/>
      </c>
      <c r="AE258" s="334" t="str" cm="1">
        <f t="array" ref="AE258">IF($C258&lt;&gt;"bitte wählen",INDEX(ListeLebensmittelIFEU,AE$189+1,$P258),"")</f>
        <v/>
      </c>
      <c r="AF258" s="334" t="str" cm="1">
        <f t="array" ref="AF258">IF($C258&lt;&gt;"bitte wählen",INDEX(ListeLebensmittelIFEU,AF$189+1,$P258),"")</f>
        <v/>
      </c>
      <c r="AG258" s="334" t="str" cm="1">
        <f t="array" ref="AG258">IF($C258&lt;&gt;"bitte wählen",INDEX(ListeLebensmittelIFEU,AG$189+1,$P258),"")</f>
        <v/>
      </c>
      <c r="AH258" s="334" t="str" cm="1">
        <f t="array" ref="AH258">IF($C258&lt;&gt;"bitte wählen",INDEX(ListeLebensmittelIFEU,AH$189+1,$P258),"")</f>
        <v/>
      </c>
      <c r="AI258" s="334" t="str" cm="1">
        <f t="array" ref="AI258">IF($C258&lt;&gt;"bitte wählen",INDEX(ListeLebensmittelIFEU,AI$189+1,$P258),"")</f>
        <v/>
      </c>
      <c r="AJ258" s="334" t="str" cm="1">
        <f t="array" ref="AJ258">IF($C258&lt;&gt;"bitte wählen",INDEX(ListeLebensmittelIFEU,AJ$189+1,$P258),"")</f>
        <v/>
      </c>
      <c r="AK258" s="334" t="str" cm="1">
        <f t="array" ref="AK258">IF($C258&lt;&gt;"bitte wählen",INDEX(ListeLebensmittelIFEU,AK$189+1,$P258),"")</f>
        <v/>
      </c>
      <c r="AL258" s="334" t="str" cm="1">
        <f t="array" ref="AL258">IF($C258&lt;&gt;"bitte wählen",INDEX(ListeLebensmittelIFEU,AL$189+1,$P258),"")</f>
        <v/>
      </c>
      <c r="AM258" s="334" t="str" cm="1">
        <f t="array" ref="AM258">IF($C258&lt;&gt;"bitte wählen",INDEX(ListeLebensmittelIFEU,AM$189+1,$P258),"")</f>
        <v/>
      </c>
      <c r="AN258" s="334" t="str" cm="1">
        <f t="array" ref="AN258">IF($C258&lt;&gt;"bitte wählen",INDEX(ListeLebensmittelIFEU,AN$189+1,$P258),"")</f>
        <v/>
      </c>
      <c r="AO258" s="334" t="str" cm="1">
        <f t="array" ref="AO258">IF($C258&lt;&gt;"bitte wählen",INDEX(ListeLebensmittelIFEU,AO$189+1,$P258),"")</f>
        <v/>
      </c>
      <c r="AP258" s="334" t="str" cm="1">
        <f t="array" ref="AP258">IF($C258&lt;&gt;"bitte wählen",INDEX(ListeLebensmittelIFEU,AP$189+1,$P258),"")</f>
        <v/>
      </c>
      <c r="AQ258" s="334" t="str" cm="1">
        <f t="array" ref="AQ258">IF($C258&lt;&gt;"bitte wählen",INDEX(ListeLebensmittelIFEU,AQ$189+1,$P258),"")</f>
        <v/>
      </c>
      <c r="AR258" s="334" t="str" cm="1">
        <f t="array" ref="AR258">IF($C258&lt;&gt;"bitte wählen",INDEX(ListeLebensmittelIFEU,AR$189+1,$P258),"")</f>
        <v/>
      </c>
      <c r="AS258" s="334" t="str" cm="1">
        <f t="array" ref="AS258">IF($C258&lt;&gt;"bitte wählen",INDEX(ListeLebensmittelIFEU,AS$189+1,$P258),"")</f>
        <v/>
      </c>
      <c r="AT258" s="334" t="str" cm="1">
        <f t="array" ref="AT258">IF($C258&lt;&gt;"bitte wählen",INDEX(ListeLebensmittelIFEU,AT$189+1,$P258),"")</f>
        <v/>
      </c>
      <c r="AU258" s="334" t="str" cm="1">
        <f t="array" ref="AU258">IF($C258&lt;&gt;"bitte wählen",INDEX(ListeLebensmittelIFEU,AU$189+1,$P258),"")</f>
        <v/>
      </c>
      <c r="AV258" s="334" t="str" cm="1">
        <f t="array" ref="AV258">IF($C258&lt;&gt;"bitte wählen",INDEX(ListeLebensmittelIFEU,AV$189+1,$P258),"")</f>
        <v/>
      </c>
      <c r="AW258" s="334" t="str" cm="1">
        <f t="array" ref="AW258">IF($C258&lt;&gt;"bitte wählen",INDEX(ListeLebensmittelIFEU,AW$189+1,$P258),"")</f>
        <v/>
      </c>
      <c r="AX258" s="334" t="str" cm="1">
        <f t="array" ref="AX258">IF($C258&lt;&gt;"bitte wählen",INDEX(ListeLebensmittelIFEU,AX$189+1,$P258),"")</f>
        <v/>
      </c>
      <c r="AY258" s="334" t="str" cm="1">
        <f t="array" ref="AY258">IF($C258&lt;&gt;"bitte wählen",INDEX(ListeLebensmittelIFEU,AY$189+1,$P258),"")</f>
        <v/>
      </c>
      <c r="AZ258" s="335" t="str" cm="1">
        <f t="array" ref="AZ258">IF($C258&lt;&gt;"bitte wählen",INDEX(ListeLebensmittelIFEU,AZ$189+1,$P258),"")</f>
        <v/>
      </c>
    </row>
    <row r="259" spans="1:52" x14ac:dyDescent="0.3">
      <c r="B259" t="s">
        <v>330</v>
      </c>
      <c r="C259" s="471" t="s">
        <v>27</v>
      </c>
      <c r="D259" s="472"/>
      <c r="E259" s="349"/>
      <c r="F259" s="473" t="s">
        <v>12</v>
      </c>
      <c r="G259" s="350" t="str">
        <f t="shared" si="37"/>
        <v/>
      </c>
      <c r="H259" s="293" t="str">
        <f t="shared" ref="H259:H260" si="43">IF(D259="","",E259*G259)</f>
        <v/>
      </c>
      <c r="P259" s="333">
        <f t="shared" si="39"/>
        <v>22</v>
      </c>
      <c r="Q259" s="334" t="e">
        <f t="shared" si="42"/>
        <v>#N/A</v>
      </c>
      <c r="R259" s="359">
        <f t="shared" si="40"/>
        <v>0</v>
      </c>
      <c r="S259" s="380">
        <f t="shared" si="41"/>
        <v>0</v>
      </c>
      <c r="T259" s="333" t="str" cm="1">
        <f t="array" ref="T259">IF($C259&lt;&gt;"bitte wählen",INDEX(ListeLebensmittelIFEU,T$189+1,$P259),"")</f>
        <v/>
      </c>
      <c r="U259" s="334" t="str" cm="1">
        <f t="array" ref="U259">IF($C259&lt;&gt;"bitte wählen",INDEX(ListeLebensmittelIFEU,U$189+1,$P259),"")</f>
        <v/>
      </c>
      <c r="V259" s="334" t="str" cm="1">
        <f t="array" ref="V259">IF($C259&lt;&gt;"bitte wählen",INDEX(ListeLebensmittelIFEU,V$189+1,$P259),"")</f>
        <v/>
      </c>
      <c r="W259" s="334" t="str" cm="1">
        <f t="array" ref="W259">IF($C259&lt;&gt;"bitte wählen",INDEX(ListeLebensmittelIFEU,W$189+1,$P259),"")</f>
        <v/>
      </c>
      <c r="X259" s="334" t="str" cm="1">
        <f t="array" ref="X259">IF($C259&lt;&gt;"bitte wählen",INDEX(ListeLebensmittelIFEU,X$189+1,$P259),"")</f>
        <v/>
      </c>
      <c r="Y259" s="334" t="str" cm="1">
        <f t="array" ref="Y259">IF($C259&lt;&gt;"bitte wählen",INDEX(ListeLebensmittelIFEU,Y$189+1,$P259),"")</f>
        <v/>
      </c>
      <c r="Z259" s="334" t="str" cm="1">
        <f t="array" ref="Z259">IF($C259&lt;&gt;"bitte wählen",INDEX(ListeLebensmittelIFEU,Z$189+1,$P259),"")</f>
        <v/>
      </c>
      <c r="AA259" s="334" t="str" cm="1">
        <f t="array" ref="AA259">IF($C259&lt;&gt;"bitte wählen",INDEX(ListeLebensmittelIFEU,AA$189+1,$P259),"")</f>
        <v/>
      </c>
      <c r="AB259" s="334" t="str" cm="1">
        <f t="array" ref="AB259">IF($C259&lt;&gt;"bitte wählen",INDEX(ListeLebensmittelIFEU,AB$189+1,$P259),"")</f>
        <v/>
      </c>
      <c r="AC259" s="334" t="str" cm="1">
        <f t="array" ref="AC259">IF($C259&lt;&gt;"bitte wählen",INDEX(ListeLebensmittelIFEU,AC$189+1,$P259),"")</f>
        <v/>
      </c>
      <c r="AD259" s="334" t="str" cm="1">
        <f t="array" ref="AD259">IF($C259&lt;&gt;"bitte wählen",INDEX(ListeLebensmittelIFEU,AD$189+1,$P259),"")</f>
        <v/>
      </c>
      <c r="AE259" s="334" t="str" cm="1">
        <f t="array" ref="AE259">IF($C259&lt;&gt;"bitte wählen",INDEX(ListeLebensmittelIFEU,AE$189+1,$P259),"")</f>
        <v/>
      </c>
      <c r="AF259" s="334" t="str" cm="1">
        <f t="array" ref="AF259">IF($C259&lt;&gt;"bitte wählen",INDEX(ListeLebensmittelIFEU,AF$189+1,$P259),"")</f>
        <v/>
      </c>
      <c r="AG259" s="334" t="str" cm="1">
        <f t="array" ref="AG259">IF($C259&lt;&gt;"bitte wählen",INDEX(ListeLebensmittelIFEU,AG$189+1,$P259),"")</f>
        <v/>
      </c>
      <c r="AH259" s="334" t="str" cm="1">
        <f t="array" ref="AH259">IF($C259&lt;&gt;"bitte wählen",INDEX(ListeLebensmittelIFEU,AH$189+1,$P259),"")</f>
        <v/>
      </c>
      <c r="AI259" s="334" t="str" cm="1">
        <f t="array" ref="AI259">IF($C259&lt;&gt;"bitte wählen",INDEX(ListeLebensmittelIFEU,AI$189+1,$P259),"")</f>
        <v/>
      </c>
      <c r="AJ259" s="334" t="str" cm="1">
        <f t="array" ref="AJ259">IF($C259&lt;&gt;"bitte wählen",INDEX(ListeLebensmittelIFEU,AJ$189+1,$P259),"")</f>
        <v/>
      </c>
      <c r="AK259" s="334" t="str" cm="1">
        <f t="array" ref="AK259">IF($C259&lt;&gt;"bitte wählen",INDEX(ListeLebensmittelIFEU,AK$189+1,$P259),"")</f>
        <v/>
      </c>
      <c r="AL259" s="334" t="str" cm="1">
        <f t="array" ref="AL259">IF($C259&lt;&gt;"bitte wählen",INDEX(ListeLebensmittelIFEU,AL$189+1,$P259),"")</f>
        <v/>
      </c>
      <c r="AM259" s="334" t="str" cm="1">
        <f t="array" ref="AM259">IF($C259&lt;&gt;"bitte wählen",INDEX(ListeLebensmittelIFEU,AM$189+1,$P259),"")</f>
        <v/>
      </c>
      <c r="AN259" s="334" t="str" cm="1">
        <f t="array" ref="AN259">IF($C259&lt;&gt;"bitte wählen",INDEX(ListeLebensmittelIFEU,AN$189+1,$P259),"")</f>
        <v/>
      </c>
      <c r="AO259" s="334" t="str" cm="1">
        <f t="array" ref="AO259">IF($C259&lt;&gt;"bitte wählen",INDEX(ListeLebensmittelIFEU,AO$189+1,$P259),"")</f>
        <v/>
      </c>
      <c r="AP259" s="334" t="str" cm="1">
        <f t="array" ref="AP259">IF($C259&lt;&gt;"bitte wählen",INDEX(ListeLebensmittelIFEU,AP$189+1,$P259),"")</f>
        <v/>
      </c>
      <c r="AQ259" s="334" t="str" cm="1">
        <f t="array" ref="AQ259">IF($C259&lt;&gt;"bitte wählen",INDEX(ListeLebensmittelIFEU,AQ$189+1,$P259),"")</f>
        <v/>
      </c>
      <c r="AR259" s="334" t="str" cm="1">
        <f t="array" ref="AR259">IF($C259&lt;&gt;"bitte wählen",INDEX(ListeLebensmittelIFEU,AR$189+1,$P259),"")</f>
        <v/>
      </c>
      <c r="AS259" s="334" t="str" cm="1">
        <f t="array" ref="AS259">IF($C259&lt;&gt;"bitte wählen",INDEX(ListeLebensmittelIFEU,AS$189+1,$P259),"")</f>
        <v/>
      </c>
      <c r="AT259" s="334" t="str" cm="1">
        <f t="array" ref="AT259">IF($C259&lt;&gt;"bitte wählen",INDEX(ListeLebensmittelIFEU,AT$189+1,$P259),"")</f>
        <v/>
      </c>
      <c r="AU259" s="334" t="str" cm="1">
        <f t="array" ref="AU259">IF($C259&lt;&gt;"bitte wählen",INDEX(ListeLebensmittelIFEU,AU$189+1,$P259),"")</f>
        <v/>
      </c>
      <c r="AV259" s="334" t="str" cm="1">
        <f t="array" ref="AV259">IF($C259&lt;&gt;"bitte wählen",INDEX(ListeLebensmittelIFEU,AV$189+1,$P259),"")</f>
        <v/>
      </c>
      <c r="AW259" s="334" t="str" cm="1">
        <f t="array" ref="AW259">IF($C259&lt;&gt;"bitte wählen",INDEX(ListeLebensmittelIFEU,AW$189+1,$P259),"")</f>
        <v/>
      </c>
      <c r="AX259" s="334" t="str" cm="1">
        <f t="array" ref="AX259">IF($C259&lt;&gt;"bitte wählen",INDEX(ListeLebensmittelIFEU,AX$189+1,$P259),"")</f>
        <v/>
      </c>
      <c r="AY259" s="334" t="str" cm="1">
        <f t="array" ref="AY259">IF($C259&lt;&gt;"bitte wählen",INDEX(ListeLebensmittelIFEU,AY$189+1,$P259),"")</f>
        <v/>
      </c>
      <c r="AZ259" s="335" t="str" cm="1">
        <f t="array" ref="AZ259">IF($C259&lt;&gt;"bitte wählen",INDEX(ListeLebensmittelIFEU,AZ$189+1,$P259),"")</f>
        <v/>
      </c>
    </row>
    <row r="260" spans="1:52" x14ac:dyDescent="0.3">
      <c r="B260" t="s">
        <v>398</v>
      </c>
      <c r="C260" s="471" t="s">
        <v>27</v>
      </c>
      <c r="D260" s="472"/>
      <c r="E260" s="349"/>
      <c r="F260" s="473" t="s">
        <v>12</v>
      </c>
      <c r="G260" s="350" t="str">
        <f t="shared" si="37"/>
        <v/>
      </c>
      <c r="H260" s="293" t="str">
        <f t="shared" si="43"/>
        <v/>
      </c>
      <c r="P260" s="336">
        <f t="shared" si="39"/>
        <v>22</v>
      </c>
      <c r="Q260" s="337" t="e">
        <f t="shared" si="42"/>
        <v>#N/A</v>
      </c>
      <c r="R260" s="360">
        <f t="shared" si="40"/>
        <v>0</v>
      </c>
      <c r="S260" s="381">
        <f t="shared" si="41"/>
        <v>0</v>
      </c>
      <c r="T260" s="336" t="str" cm="1">
        <f t="array" ref="T260">IF($C260&lt;&gt;"bitte wählen",INDEX(ListeLebensmittelIFEU,T$189+1,$P260),"")</f>
        <v/>
      </c>
      <c r="U260" s="337" t="str" cm="1">
        <f t="array" ref="U260">IF($C260&lt;&gt;"bitte wählen",INDEX(ListeLebensmittelIFEU,U$189+1,$P260),"")</f>
        <v/>
      </c>
      <c r="V260" s="337" t="str" cm="1">
        <f t="array" ref="V260">IF($C260&lt;&gt;"bitte wählen",INDEX(ListeLebensmittelIFEU,V$189+1,$P260),"")</f>
        <v/>
      </c>
      <c r="W260" s="337" t="str" cm="1">
        <f t="array" ref="W260">IF($C260&lt;&gt;"bitte wählen",INDEX(ListeLebensmittelIFEU,W$189+1,$P260),"")</f>
        <v/>
      </c>
      <c r="X260" s="337" t="str" cm="1">
        <f t="array" ref="X260">IF($C260&lt;&gt;"bitte wählen",INDEX(ListeLebensmittelIFEU,X$189+1,$P260),"")</f>
        <v/>
      </c>
      <c r="Y260" s="337" t="str" cm="1">
        <f t="array" ref="Y260">IF($C260&lt;&gt;"bitte wählen",INDEX(ListeLebensmittelIFEU,Y$189+1,$P260),"")</f>
        <v/>
      </c>
      <c r="Z260" s="337" t="str" cm="1">
        <f t="array" ref="Z260">IF($C260&lt;&gt;"bitte wählen",INDEX(ListeLebensmittelIFEU,Z$189+1,$P260),"")</f>
        <v/>
      </c>
      <c r="AA260" s="337" t="str" cm="1">
        <f t="array" ref="AA260">IF($C260&lt;&gt;"bitte wählen",INDEX(ListeLebensmittelIFEU,AA$189+1,$P260),"")</f>
        <v/>
      </c>
      <c r="AB260" s="337" t="str" cm="1">
        <f t="array" ref="AB260">IF($C260&lt;&gt;"bitte wählen",INDEX(ListeLebensmittelIFEU,AB$189+1,$P260),"")</f>
        <v/>
      </c>
      <c r="AC260" s="337" t="str" cm="1">
        <f t="array" ref="AC260">IF($C260&lt;&gt;"bitte wählen",INDEX(ListeLebensmittelIFEU,AC$189+1,$P260),"")</f>
        <v/>
      </c>
      <c r="AD260" s="337" t="str" cm="1">
        <f t="array" ref="AD260">IF($C260&lt;&gt;"bitte wählen",INDEX(ListeLebensmittelIFEU,AD$189+1,$P260),"")</f>
        <v/>
      </c>
      <c r="AE260" s="337" t="str" cm="1">
        <f t="array" ref="AE260">IF($C260&lt;&gt;"bitte wählen",INDEX(ListeLebensmittelIFEU,AE$189+1,$P260),"")</f>
        <v/>
      </c>
      <c r="AF260" s="337" t="str" cm="1">
        <f t="array" ref="AF260">IF($C260&lt;&gt;"bitte wählen",INDEX(ListeLebensmittelIFEU,AF$189+1,$P260),"")</f>
        <v/>
      </c>
      <c r="AG260" s="337" t="str" cm="1">
        <f t="array" ref="AG260">IF($C260&lt;&gt;"bitte wählen",INDEX(ListeLebensmittelIFEU,AG$189+1,$P260),"")</f>
        <v/>
      </c>
      <c r="AH260" s="337" t="str" cm="1">
        <f t="array" ref="AH260">IF($C260&lt;&gt;"bitte wählen",INDEX(ListeLebensmittelIFEU,AH$189+1,$P260),"")</f>
        <v/>
      </c>
      <c r="AI260" s="337" t="str" cm="1">
        <f t="array" ref="AI260">IF($C260&lt;&gt;"bitte wählen",INDEX(ListeLebensmittelIFEU,AI$189+1,$P260),"")</f>
        <v/>
      </c>
      <c r="AJ260" s="337" t="str" cm="1">
        <f t="array" ref="AJ260">IF($C260&lt;&gt;"bitte wählen",INDEX(ListeLebensmittelIFEU,AJ$189+1,$P260),"")</f>
        <v/>
      </c>
      <c r="AK260" s="337" t="str" cm="1">
        <f t="array" ref="AK260">IF($C260&lt;&gt;"bitte wählen",INDEX(ListeLebensmittelIFEU,AK$189+1,$P260),"")</f>
        <v/>
      </c>
      <c r="AL260" s="337" t="str" cm="1">
        <f t="array" ref="AL260">IF($C260&lt;&gt;"bitte wählen",INDEX(ListeLebensmittelIFEU,AL$189+1,$P260),"")</f>
        <v/>
      </c>
      <c r="AM260" s="337" t="str" cm="1">
        <f t="array" ref="AM260">IF($C260&lt;&gt;"bitte wählen",INDEX(ListeLebensmittelIFEU,AM$189+1,$P260),"")</f>
        <v/>
      </c>
      <c r="AN260" s="337" t="str" cm="1">
        <f t="array" ref="AN260">IF($C260&lt;&gt;"bitte wählen",INDEX(ListeLebensmittelIFEU,AN$189+1,$P260),"")</f>
        <v/>
      </c>
      <c r="AO260" s="337" t="str" cm="1">
        <f t="array" ref="AO260">IF($C260&lt;&gt;"bitte wählen",INDEX(ListeLebensmittelIFEU,AO$189+1,$P260),"")</f>
        <v/>
      </c>
      <c r="AP260" s="337" t="str" cm="1">
        <f t="array" ref="AP260">IF($C260&lt;&gt;"bitte wählen",INDEX(ListeLebensmittelIFEU,AP$189+1,$P260),"")</f>
        <v/>
      </c>
      <c r="AQ260" s="337" t="str" cm="1">
        <f t="array" ref="AQ260">IF($C260&lt;&gt;"bitte wählen",INDEX(ListeLebensmittelIFEU,AQ$189+1,$P260),"")</f>
        <v/>
      </c>
      <c r="AR260" s="337" t="str" cm="1">
        <f t="array" ref="AR260">IF($C260&lt;&gt;"bitte wählen",INDEX(ListeLebensmittelIFEU,AR$189+1,$P260),"")</f>
        <v/>
      </c>
      <c r="AS260" s="337" t="str" cm="1">
        <f t="array" ref="AS260">IF($C260&lt;&gt;"bitte wählen",INDEX(ListeLebensmittelIFEU,AS$189+1,$P260),"")</f>
        <v/>
      </c>
      <c r="AT260" s="337" t="str" cm="1">
        <f t="array" ref="AT260">IF($C260&lt;&gt;"bitte wählen",INDEX(ListeLebensmittelIFEU,AT$189+1,$P260),"")</f>
        <v/>
      </c>
      <c r="AU260" s="337" t="str" cm="1">
        <f t="array" ref="AU260">IF($C260&lt;&gt;"bitte wählen",INDEX(ListeLebensmittelIFEU,AU$189+1,$P260),"")</f>
        <v/>
      </c>
      <c r="AV260" s="337" t="str" cm="1">
        <f t="array" ref="AV260">IF($C260&lt;&gt;"bitte wählen",INDEX(ListeLebensmittelIFEU,AV$189+1,$P260),"")</f>
        <v/>
      </c>
      <c r="AW260" s="337" t="str" cm="1">
        <f t="array" ref="AW260">IF($C260&lt;&gt;"bitte wählen",INDEX(ListeLebensmittelIFEU,AW$189+1,$P260),"")</f>
        <v/>
      </c>
      <c r="AX260" s="337" t="str" cm="1">
        <f t="array" ref="AX260">IF($C260&lt;&gt;"bitte wählen",INDEX(ListeLebensmittelIFEU,AX$189+1,$P260),"")</f>
        <v/>
      </c>
      <c r="AY260" s="337" t="str" cm="1">
        <f t="array" ref="AY260">IF($C260&lt;&gt;"bitte wählen",INDEX(ListeLebensmittelIFEU,AY$189+1,$P260),"")</f>
        <v/>
      </c>
      <c r="AZ260" s="338" t="str" cm="1">
        <f t="array" ref="AZ260">IF($C260&lt;&gt;"bitte wählen",INDEX(ListeLebensmittelIFEU,AZ$189+1,$P260),"")</f>
        <v/>
      </c>
    </row>
    <row r="261" spans="1:52" x14ac:dyDescent="0.3">
      <c r="B261" s="105" t="str">
        <f>IF(R261,IF(E261/IF(D253="",1,D253)&lt;GewichtMittagessenMin,"Hinweis: Dies scheint eine relativ kleine Portion zu sein",IF(E261/IF(D253="",1,D253)&gt;GewichtMittagessenMax,"Hinweis: Dies scheint eine relativ große Portion zu sein","")),"")</f>
        <v/>
      </c>
      <c r="C261" s="78"/>
      <c r="D261" s="78"/>
      <c r="E261" s="355">
        <f>SUM(E255:E260)-SUMIF(C255:C260,"Getränke",E255:E260)</f>
        <v>0</v>
      </c>
      <c r="G261" s="15" t="s">
        <v>622</v>
      </c>
      <c r="H261" s="293">
        <f>SUM(H255:H260)</f>
        <v>0</v>
      </c>
      <c r="Q261" s="383" t="s">
        <v>1030</v>
      </c>
      <c r="R261" s="386" t="b">
        <f>IF(SUM(R255:R260)&gt;0,TRUE,FALSE)</f>
        <v>0</v>
      </c>
      <c r="S261" s="383">
        <f>SUM(S255:S260)</f>
        <v>0</v>
      </c>
      <c r="T261" s="383" t="s">
        <v>1029</v>
      </c>
      <c r="U261" s="383" t="str">
        <f>IF(R261,IF(S261&gt;9,10,IF(S261&gt;0,1,0)),"")</f>
        <v/>
      </c>
    </row>
    <row r="262" spans="1:52" x14ac:dyDescent="0.3">
      <c r="B262" s="385" t="str">
        <f>IF(U261=0,"🌱 vegan","")</f>
        <v/>
      </c>
      <c r="C262" s="105" t="str">
        <f>IF(U261=1,"Ⓥ vegetarisch","")</f>
        <v/>
      </c>
      <c r="D262" s="384" t="str">
        <f>IF(U261=10,"🥩 mit Fleisch/Fisch","")</f>
        <v/>
      </c>
      <c r="E262" s="78"/>
      <c r="G262" s="15" t="s">
        <v>623</v>
      </c>
      <c r="H262" s="294">
        <f>IF(D253="",H261,H261/D253)</f>
        <v>0</v>
      </c>
    </row>
    <row r="263" spans="1:52" x14ac:dyDescent="0.3">
      <c r="T263" s="84"/>
    </row>
    <row r="264" spans="1:52" ht="18" thickBot="1" x14ac:dyDescent="0.4">
      <c r="B264" s="496" t="str">
        <f>"CO₂-Bilanz Gericht 7: "&amp;D265</f>
        <v>CO₂-Bilanz Gericht 7: Menü 7</v>
      </c>
      <c r="C264" s="496"/>
      <c r="D264" s="496"/>
      <c r="E264" s="496"/>
      <c r="T264" s="84"/>
    </row>
    <row r="265" spans="1:52" ht="15" thickTop="1" x14ac:dyDescent="0.3">
      <c r="B265" t="s">
        <v>994</v>
      </c>
      <c r="D265" s="288" t="s">
        <v>999</v>
      </c>
      <c r="F265" s="78"/>
      <c r="G265" s="78"/>
      <c r="H265" s="78"/>
      <c r="I265" s="78"/>
    </row>
    <row r="266" spans="1:52" x14ac:dyDescent="0.3">
      <c r="B266" t="s">
        <v>995</v>
      </c>
      <c r="C266" s="78"/>
      <c r="D266" s="291">
        <v>1</v>
      </c>
      <c r="E266" s="301" t="str">
        <f>IF(ISNUMBER(FIND("g",_xlfn.CONCAT(E268:E273))),"Bitte Menge als reine Zahl ohne Zusatz g eingeben","")</f>
        <v/>
      </c>
      <c r="G266" s="78"/>
      <c r="H266" s="78"/>
      <c r="T266" s="329" t="s">
        <v>918</v>
      </c>
      <c r="U266" s="330"/>
      <c r="V266" s="330"/>
      <c r="W266" s="330"/>
      <c r="X266" s="330"/>
      <c r="Y266" s="330"/>
    </row>
    <row r="267" spans="1:52" ht="44.4" x14ac:dyDescent="0.35">
      <c r="A267" s="376" t="s">
        <v>1217</v>
      </c>
      <c r="C267" s="297" t="s">
        <v>993</v>
      </c>
      <c r="D267" s="313" t="s">
        <v>992</v>
      </c>
      <c r="E267" s="298" t="s">
        <v>323</v>
      </c>
      <c r="F267" s="298" t="s">
        <v>324</v>
      </c>
      <c r="G267" s="296" t="s">
        <v>534</v>
      </c>
      <c r="H267" s="296" t="s">
        <v>535</v>
      </c>
      <c r="P267" s="356" t="s">
        <v>956</v>
      </c>
      <c r="Q267" s="356" t="s">
        <v>957</v>
      </c>
      <c r="R267" s="357" t="s">
        <v>958</v>
      </c>
      <c r="S267" s="357" t="s">
        <v>1028</v>
      </c>
      <c r="T267" s="361">
        <v>1</v>
      </c>
      <c r="U267" s="362">
        <v>2</v>
      </c>
      <c r="V267" s="362">
        <v>3</v>
      </c>
      <c r="W267" s="362">
        <v>4</v>
      </c>
      <c r="X267" s="362">
        <v>5</v>
      </c>
      <c r="Y267" s="362">
        <v>6</v>
      </c>
      <c r="Z267" s="362">
        <v>7</v>
      </c>
      <c r="AA267" s="362">
        <v>8</v>
      </c>
      <c r="AB267" s="362">
        <v>9</v>
      </c>
      <c r="AC267" s="362">
        <v>10</v>
      </c>
      <c r="AD267" s="362">
        <v>11</v>
      </c>
      <c r="AE267" s="362">
        <v>12</v>
      </c>
      <c r="AF267" s="362">
        <v>13</v>
      </c>
      <c r="AG267" s="362">
        <v>14</v>
      </c>
      <c r="AH267" s="362">
        <v>15</v>
      </c>
      <c r="AI267" s="362">
        <v>16</v>
      </c>
      <c r="AJ267" s="362">
        <v>17</v>
      </c>
      <c r="AK267" s="362">
        <v>18</v>
      </c>
      <c r="AL267" s="362">
        <v>19</v>
      </c>
      <c r="AM267" s="362">
        <v>20</v>
      </c>
      <c r="AN267" s="362">
        <v>21</v>
      </c>
      <c r="AO267" s="362">
        <v>22</v>
      </c>
      <c r="AP267" s="362">
        <v>23</v>
      </c>
      <c r="AQ267" s="362">
        <v>24</v>
      </c>
      <c r="AR267" s="362">
        <v>25</v>
      </c>
      <c r="AS267" s="362">
        <v>26</v>
      </c>
      <c r="AT267" s="362">
        <v>27</v>
      </c>
      <c r="AU267" s="362">
        <v>28</v>
      </c>
      <c r="AV267" s="362">
        <v>29</v>
      </c>
      <c r="AW267" s="362">
        <v>30</v>
      </c>
      <c r="AX267" s="362">
        <v>31</v>
      </c>
      <c r="AY267" s="362">
        <v>32</v>
      </c>
      <c r="AZ267" s="363">
        <v>33</v>
      </c>
    </row>
    <row r="268" spans="1:52" x14ac:dyDescent="0.3">
      <c r="B268" t="s">
        <v>13</v>
      </c>
      <c r="C268" s="471" t="s">
        <v>27</v>
      </c>
      <c r="D268" s="472"/>
      <c r="E268" s="470"/>
      <c r="F268" s="473" t="s">
        <v>12</v>
      </c>
      <c r="G268" s="350" t="str">
        <f t="shared" ref="G268:G273" si="44">IF(D268="","",R268*IF(F268="Ja",FaktorBeiLokalemProdukt,1))</f>
        <v/>
      </c>
      <c r="H268" s="293" t="str">
        <f t="shared" ref="H268:H273" si="45">IF(D268="","",E268*G268)</f>
        <v/>
      </c>
      <c r="P268" s="331">
        <f t="shared" ref="P268:P273" si="46">VLOOKUP(C268,$C$457:$D$464,2,FALSE)</f>
        <v>22</v>
      </c>
      <c r="Q268" s="332" t="e">
        <f>MATCH(D268,T268:AZ268,0)</f>
        <v>#N/A</v>
      </c>
      <c r="R268" s="358">
        <f t="shared" ref="R268:R273" si="47">_xlfn.IFNA(IF(D268&lt;&gt;"",VLOOKUP(D268,$C$544:$E$774,2,FALSE),0),0)</f>
        <v>0</v>
      </c>
      <c r="S268" s="358">
        <f t="shared" ref="S268:S273" si="48">_xlfn.IFNA(IF(D268&lt;&gt;"",VLOOKUP(D268,$C$544:$E$774,3,FALSE),0),0)</f>
        <v>0</v>
      </c>
      <c r="T268" s="333" t="str" cm="1">
        <f t="array" ref="T268">IF($C268&lt;&gt;"bitte wählen",INDEX(ListeLebensmittelIFEU,T$189+1,$P268),"")</f>
        <v/>
      </c>
      <c r="U268" s="334" t="str" cm="1">
        <f t="array" ref="U268">IF($C268&lt;&gt;"bitte wählen",INDEX(ListeLebensmittelIFEU,U$189+1,$P268),"")</f>
        <v/>
      </c>
      <c r="V268" s="334" t="str" cm="1">
        <f t="array" ref="V268">IF($C268&lt;&gt;"bitte wählen",INDEX(ListeLebensmittelIFEU,V$189+1,$P268),"")</f>
        <v/>
      </c>
      <c r="W268" s="334" t="str" cm="1">
        <f t="array" ref="W268">IF($C268&lt;&gt;"bitte wählen",INDEX(ListeLebensmittelIFEU,W$189+1,$P268),"")</f>
        <v/>
      </c>
      <c r="X268" s="334" t="str" cm="1">
        <f t="array" ref="X268">IF($C268&lt;&gt;"bitte wählen",INDEX(ListeLebensmittelIFEU,X$189+1,$P268),"")</f>
        <v/>
      </c>
      <c r="Y268" s="334" t="str" cm="1">
        <f t="array" ref="Y268">IF($C268&lt;&gt;"bitte wählen",INDEX(ListeLebensmittelIFEU,Y$189+1,$P268),"")</f>
        <v/>
      </c>
      <c r="Z268" s="334" t="str" cm="1">
        <f t="array" ref="Z268">IF($C268&lt;&gt;"bitte wählen",INDEX(ListeLebensmittelIFEU,Z$189+1,$P268),"")</f>
        <v/>
      </c>
      <c r="AA268" s="334" t="str" cm="1">
        <f t="array" ref="AA268">IF($C268&lt;&gt;"bitte wählen",INDEX(ListeLebensmittelIFEU,AA$189+1,$P268),"")</f>
        <v/>
      </c>
      <c r="AB268" s="334" t="str" cm="1">
        <f t="array" ref="AB268">IF($C268&lt;&gt;"bitte wählen",INDEX(ListeLebensmittelIFEU,AB$189+1,$P268),"")</f>
        <v/>
      </c>
      <c r="AC268" s="334" t="str" cm="1">
        <f t="array" ref="AC268">IF($C268&lt;&gt;"bitte wählen",INDEX(ListeLebensmittelIFEU,AC$189+1,$P268),"")</f>
        <v/>
      </c>
      <c r="AD268" s="334" t="str" cm="1">
        <f t="array" ref="AD268">IF($C268&lt;&gt;"bitte wählen",INDEX(ListeLebensmittelIFEU,AD$189+1,$P268),"")</f>
        <v/>
      </c>
      <c r="AE268" s="334" t="str" cm="1">
        <f t="array" ref="AE268">IF($C268&lt;&gt;"bitte wählen",INDEX(ListeLebensmittelIFEU,AE$189+1,$P268),"")</f>
        <v/>
      </c>
      <c r="AF268" s="334" t="str" cm="1">
        <f t="array" ref="AF268">IF($C268&lt;&gt;"bitte wählen",INDEX(ListeLebensmittelIFEU,AF$189+1,$P268),"")</f>
        <v/>
      </c>
      <c r="AG268" s="334" t="str" cm="1">
        <f t="array" ref="AG268">IF($C268&lt;&gt;"bitte wählen",INDEX(ListeLebensmittelIFEU,AG$189+1,$P268),"")</f>
        <v/>
      </c>
      <c r="AH268" s="334" t="str" cm="1">
        <f t="array" ref="AH268">IF($C268&lt;&gt;"bitte wählen",INDEX(ListeLebensmittelIFEU,AH$189+1,$P268),"")</f>
        <v/>
      </c>
      <c r="AI268" s="334" t="str" cm="1">
        <f t="array" ref="AI268">IF($C268&lt;&gt;"bitte wählen",INDEX(ListeLebensmittelIFEU,AI$189+1,$P268),"")</f>
        <v/>
      </c>
      <c r="AJ268" s="334" t="str" cm="1">
        <f t="array" ref="AJ268">IF($C268&lt;&gt;"bitte wählen",INDEX(ListeLebensmittelIFEU,AJ$189+1,$P268),"")</f>
        <v/>
      </c>
      <c r="AK268" s="334" t="str" cm="1">
        <f t="array" ref="AK268">IF($C268&lt;&gt;"bitte wählen",INDEX(ListeLebensmittelIFEU,AK$189+1,$P268),"")</f>
        <v/>
      </c>
      <c r="AL268" s="334" t="str" cm="1">
        <f t="array" ref="AL268">IF($C268&lt;&gt;"bitte wählen",INDEX(ListeLebensmittelIFEU,AL$189+1,$P268),"")</f>
        <v/>
      </c>
      <c r="AM268" s="334" t="str" cm="1">
        <f t="array" ref="AM268">IF($C268&lt;&gt;"bitte wählen",INDEX(ListeLebensmittelIFEU,AM$189+1,$P268),"")</f>
        <v/>
      </c>
      <c r="AN268" s="334" t="str" cm="1">
        <f t="array" ref="AN268">IF($C268&lt;&gt;"bitte wählen",INDEX(ListeLebensmittelIFEU,AN$189+1,$P268),"")</f>
        <v/>
      </c>
      <c r="AO268" s="334" t="str" cm="1">
        <f t="array" ref="AO268">IF($C268&lt;&gt;"bitte wählen",INDEX(ListeLebensmittelIFEU,AO$189+1,$P268),"")</f>
        <v/>
      </c>
      <c r="AP268" s="334" t="str" cm="1">
        <f t="array" ref="AP268">IF($C268&lt;&gt;"bitte wählen",INDEX(ListeLebensmittelIFEU,AP$189+1,$P268),"")</f>
        <v/>
      </c>
      <c r="AQ268" s="334" t="str" cm="1">
        <f t="array" ref="AQ268">IF($C268&lt;&gt;"bitte wählen",INDEX(ListeLebensmittelIFEU,AQ$189+1,$P268),"")</f>
        <v/>
      </c>
      <c r="AR268" s="334" t="str" cm="1">
        <f t="array" ref="AR268">IF($C268&lt;&gt;"bitte wählen",INDEX(ListeLebensmittelIFEU,AR$189+1,$P268),"")</f>
        <v/>
      </c>
      <c r="AS268" s="334" t="str" cm="1">
        <f t="array" ref="AS268">IF($C268&lt;&gt;"bitte wählen",INDEX(ListeLebensmittelIFEU,AS$189+1,$P268),"")</f>
        <v/>
      </c>
      <c r="AT268" s="334" t="str" cm="1">
        <f t="array" ref="AT268">IF($C268&lt;&gt;"bitte wählen",INDEX(ListeLebensmittelIFEU,AT$189+1,$P268),"")</f>
        <v/>
      </c>
      <c r="AU268" s="334" t="str" cm="1">
        <f t="array" ref="AU268">IF($C268&lt;&gt;"bitte wählen",INDEX(ListeLebensmittelIFEU,AU$189+1,$P268),"")</f>
        <v/>
      </c>
      <c r="AV268" s="334" t="str" cm="1">
        <f t="array" ref="AV268">IF($C268&lt;&gt;"bitte wählen",INDEX(ListeLebensmittelIFEU,AV$189+1,$P268),"")</f>
        <v/>
      </c>
      <c r="AW268" s="334" t="str" cm="1">
        <f t="array" ref="AW268">IF($C268&lt;&gt;"bitte wählen",INDEX(ListeLebensmittelIFEU,AW$189+1,$P268),"")</f>
        <v/>
      </c>
      <c r="AX268" s="334" t="str" cm="1">
        <f t="array" ref="AX268">IF($C268&lt;&gt;"bitte wählen",INDEX(ListeLebensmittelIFEU,AX$189+1,$P268),"")</f>
        <v/>
      </c>
      <c r="AY268" s="334" t="str" cm="1">
        <f t="array" ref="AY268">IF($C268&lt;&gt;"bitte wählen",INDEX(ListeLebensmittelIFEU,AY$189+1,$P268),"")</f>
        <v/>
      </c>
      <c r="AZ268" s="335" t="str" cm="1">
        <f t="array" ref="AZ268">IF($C268&lt;&gt;"bitte wählen",INDEX(ListeLebensmittelIFEU,AZ$189+1,$P268),"")</f>
        <v/>
      </c>
    </row>
    <row r="269" spans="1:52" x14ac:dyDescent="0.3">
      <c r="B269" t="s">
        <v>327</v>
      </c>
      <c r="C269" s="471" t="s">
        <v>27</v>
      </c>
      <c r="D269" s="472"/>
      <c r="E269" s="349"/>
      <c r="F269" s="473" t="s">
        <v>12</v>
      </c>
      <c r="G269" s="350" t="str">
        <f t="shared" si="44"/>
        <v/>
      </c>
      <c r="H269" s="293" t="str">
        <f t="shared" si="45"/>
        <v/>
      </c>
      <c r="P269" s="333">
        <f t="shared" si="46"/>
        <v>22</v>
      </c>
      <c r="Q269" s="334" t="e">
        <f t="shared" ref="Q269:Q273" si="49">MATCH(D269,T269:AZ269,0)</f>
        <v>#N/A</v>
      </c>
      <c r="R269" s="359">
        <f t="shared" si="47"/>
        <v>0</v>
      </c>
      <c r="S269" s="380">
        <f t="shared" si="48"/>
        <v>0</v>
      </c>
      <c r="T269" s="333" t="str" cm="1">
        <f t="array" ref="T269">IF($C269&lt;&gt;"bitte wählen",INDEX(ListeLebensmittelIFEU,T$189+1,$P269),"")</f>
        <v/>
      </c>
      <c r="U269" s="334" t="str" cm="1">
        <f t="array" ref="U269">IF($C269&lt;&gt;"bitte wählen",INDEX(ListeLebensmittelIFEU,U$189+1,$P269),"")</f>
        <v/>
      </c>
      <c r="V269" s="334" t="str" cm="1">
        <f t="array" ref="V269">IF($C269&lt;&gt;"bitte wählen",INDEX(ListeLebensmittelIFEU,V$189+1,$P269),"")</f>
        <v/>
      </c>
      <c r="W269" s="334" t="str" cm="1">
        <f t="array" ref="W269">IF($C269&lt;&gt;"bitte wählen",INDEX(ListeLebensmittelIFEU,W$189+1,$P269),"")</f>
        <v/>
      </c>
      <c r="X269" s="334" t="str" cm="1">
        <f t="array" ref="X269">IF($C269&lt;&gt;"bitte wählen",INDEX(ListeLebensmittelIFEU,X$189+1,$P269),"")</f>
        <v/>
      </c>
      <c r="Y269" s="334" t="str" cm="1">
        <f t="array" ref="Y269">IF($C269&lt;&gt;"bitte wählen",INDEX(ListeLebensmittelIFEU,Y$189+1,$P269),"")</f>
        <v/>
      </c>
      <c r="Z269" s="334" t="str" cm="1">
        <f t="array" ref="Z269">IF($C269&lt;&gt;"bitte wählen",INDEX(ListeLebensmittelIFEU,Z$189+1,$P269),"")</f>
        <v/>
      </c>
      <c r="AA269" s="334" t="str" cm="1">
        <f t="array" ref="AA269">IF($C269&lt;&gt;"bitte wählen",INDEX(ListeLebensmittelIFEU,AA$189+1,$P269),"")</f>
        <v/>
      </c>
      <c r="AB269" s="334" t="str" cm="1">
        <f t="array" ref="AB269">IF($C269&lt;&gt;"bitte wählen",INDEX(ListeLebensmittelIFEU,AB$189+1,$P269),"")</f>
        <v/>
      </c>
      <c r="AC269" s="334" t="str" cm="1">
        <f t="array" ref="AC269">IF($C269&lt;&gt;"bitte wählen",INDEX(ListeLebensmittelIFEU,AC$189+1,$P269),"")</f>
        <v/>
      </c>
      <c r="AD269" s="334" t="str" cm="1">
        <f t="array" ref="AD269">IF($C269&lt;&gt;"bitte wählen",INDEX(ListeLebensmittelIFEU,AD$189+1,$P269),"")</f>
        <v/>
      </c>
      <c r="AE269" s="334" t="str" cm="1">
        <f t="array" ref="AE269">IF($C269&lt;&gt;"bitte wählen",INDEX(ListeLebensmittelIFEU,AE$189+1,$P269),"")</f>
        <v/>
      </c>
      <c r="AF269" s="334" t="str" cm="1">
        <f t="array" ref="AF269">IF($C269&lt;&gt;"bitte wählen",INDEX(ListeLebensmittelIFEU,AF$189+1,$P269),"")</f>
        <v/>
      </c>
      <c r="AG269" s="334" t="str" cm="1">
        <f t="array" ref="AG269">IF($C269&lt;&gt;"bitte wählen",INDEX(ListeLebensmittelIFEU,AG$189+1,$P269),"")</f>
        <v/>
      </c>
      <c r="AH269" s="334" t="str" cm="1">
        <f t="array" ref="AH269">IF($C269&lt;&gt;"bitte wählen",INDEX(ListeLebensmittelIFEU,AH$189+1,$P269),"")</f>
        <v/>
      </c>
      <c r="AI269" s="334" t="str" cm="1">
        <f t="array" ref="AI269">IF($C269&lt;&gt;"bitte wählen",INDEX(ListeLebensmittelIFEU,AI$189+1,$P269),"")</f>
        <v/>
      </c>
      <c r="AJ269" s="334" t="str" cm="1">
        <f t="array" ref="AJ269">IF($C269&lt;&gt;"bitte wählen",INDEX(ListeLebensmittelIFEU,AJ$189+1,$P269),"")</f>
        <v/>
      </c>
      <c r="AK269" s="334" t="str" cm="1">
        <f t="array" ref="AK269">IF($C269&lt;&gt;"bitte wählen",INDEX(ListeLebensmittelIFEU,AK$189+1,$P269),"")</f>
        <v/>
      </c>
      <c r="AL269" s="334" t="str" cm="1">
        <f t="array" ref="AL269">IF($C269&lt;&gt;"bitte wählen",INDEX(ListeLebensmittelIFEU,AL$189+1,$P269),"")</f>
        <v/>
      </c>
      <c r="AM269" s="334" t="str" cm="1">
        <f t="array" ref="AM269">IF($C269&lt;&gt;"bitte wählen",INDEX(ListeLebensmittelIFEU,AM$189+1,$P269),"")</f>
        <v/>
      </c>
      <c r="AN269" s="334" t="str" cm="1">
        <f t="array" ref="AN269">IF($C269&lt;&gt;"bitte wählen",INDEX(ListeLebensmittelIFEU,AN$189+1,$P269),"")</f>
        <v/>
      </c>
      <c r="AO269" s="334" t="str" cm="1">
        <f t="array" ref="AO269">IF($C269&lt;&gt;"bitte wählen",INDEX(ListeLebensmittelIFEU,AO$189+1,$P269),"")</f>
        <v/>
      </c>
      <c r="AP269" s="334" t="str" cm="1">
        <f t="array" ref="AP269">IF($C269&lt;&gt;"bitte wählen",INDEX(ListeLebensmittelIFEU,AP$189+1,$P269),"")</f>
        <v/>
      </c>
      <c r="AQ269" s="334" t="str" cm="1">
        <f t="array" ref="AQ269">IF($C269&lt;&gt;"bitte wählen",INDEX(ListeLebensmittelIFEU,AQ$189+1,$P269),"")</f>
        <v/>
      </c>
      <c r="AR269" s="334" t="str" cm="1">
        <f t="array" ref="AR269">IF($C269&lt;&gt;"bitte wählen",INDEX(ListeLebensmittelIFEU,AR$189+1,$P269),"")</f>
        <v/>
      </c>
      <c r="AS269" s="334" t="str" cm="1">
        <f t="array" ref="AS269">IF($C269&lt;&gt;"bitte wählen",INDEX(ListeLebensmittelIFEU,AS$189+1,$P269),"")</f>
        <v/>
      </c>
      <c r="AT269" s="334" t="str" cm="1">
        <f t="array" ref="AT269">IF($C269&lt;&gt;"bitte wählen",INDEX(ListeLebensmittelIFEU,AT$189+1,$P269),"")</f>
        <v/>
      </c>
      <c r="AU269" s="334" t="str" cm="1">
        <f t="array" ref="AU269">IF($C269&lt;&gt;"bitte wählen",INDEX(ListeLebensmittelIFEU,AU$189+1,$P269),"")</f>
        <v/>
      </c>
      <c r="AV269" s="334" t="str" cm="1">
        <f t="array" ref="AV269">IF($C269&lt;&gt;"bitte wählen",INDEX(ListeLebensmittelIFEU,AV$189+1,$P269),"")</f>
        <v/>
      </c>
      <c r="AW269" s="334" t="str" cm="1">
        <f t="array" ref="AW269">IF($C269&lt;&gt;"bitte wählen",INDEX(ListeLebensmittelIFEU,AW$189+1,$P269),"")</f>
        <v/>
      </c>
      <c r="AX269" s="334" t="str" cm="1">
        <f t="array" ref="AX269">IF($C269&lt;&gt;"bitte wählen",INDEX(ListeLebensmittelIFEU,AX$189+1,$P269),"")</f>
        <v/>
      </c>
      <c r="AY269" s="334" t="str" cm="1">
        <f t="array" ref="AY269">IF($C269&lt;&gt;"bitte wählen",INDEX(ListeLebensmittelIFEU,AY$189+1,$P269),"")</f>
        <v/>
      </c>
      <c r="AZ269" s="335" t="str" cm="1">
        <f t="array" ref="AZ269">IF($C269&lt;&gt;"bitte wählen",INDEX(ListeLebensmittelIFEU,AZ$189+1,$P269),"")</f>
        <v/>
      </c>
    </row>
    <row r="270" spans="1:52" x14ac:dyDescent="0.3">
      <c r="B270" t="s">
        <v>328</v>
      </c>
      <c r="C270" s="471" t="s">
        <v>27</v>
      </c>
      <c r="D270" s="472"/>
      <c r="E270" s="349"/>
      <c r="F270" s="473" t="s">
        <v>12</v>
      </c>
      <c r="G270" s="350" t="str">
        <f t="shared" si="44"/>
        <v/>
      </c>
      <c r="H270" s="293" t="str">
        <f t="shared" si="45"/>
        <v/>
      </c>
      <c r="P270" s="333">
        <f t="shared" si="46"/>
        <v>22</v>
      </c>
      <c r="Q270" s="334" t="e">
        <f t="shared" si="49"/>
        <v>#N/A</v>
      </c>
      <c r="R270" s="359">
        <f t="shared" si="47"/>
        <v>0</v>
      </c>
      <c r="S270" s="380">
        <f t="shared" si="48"/>
        <v>0</v>
      </c>
      <c r="T270" s="333" t="str" cm="1">
        <f t="array" ref="T270">IF($C270&lt;&gt;"bitte wählen",INDEX(ListeLebensmittelIFEU,T$189+1,$P270),"")</f>
        <v/>
      </c>
      <c r="U270" s="334" t="str" cm="1">
        <f t="array" ref="U270">IF($C270&lt;&gt;"bitte wählen",INDEX(ListeLebensmittelIFEU,U$189+1,$P270),"")</f>
        <v/>
      </c>
      <c r="V270" s="334" t="str" cm="1">
        <f t="array" ref="V270">IF($C270&lt;&gt;"bitte wählen",INDEX(ListeLebensmittelIFEU,V$189+1,$P270),"")</f>
        <v/>
      </c>
      <c r="W270" s="334" t="str" cm="1">
        <f t="array" ref="W270">IF($C270&lt;&gt;"bitte wählen",INDEX(ListeLebensmittelIFEU,W$189+1,$P270),"")</f>
        <v/>
      </c>
      <c r="X270" s="334" t="str" cm="1">
        <f t="array" ref="X270">IF($C270&lt;&gt;"bitte wählen",INDEX(ListeLebensmittelIFEU,X$189+1,$P270),"")</f>
        <v/>
      </c>
      <c r="Y270" s="334" t="str" cm="1">
        <f t="array" ref="Y270">IF($C270&lt;&gt;"bitte wählen",INDEX(ListeLebensmittelIFEU,Y$189+1,$P270),"")</f>
        <v/>
      </c>
      <c r="Z270" s="334" t="str" cm="1">
        <f t="array" ref="Z270">IF($C270&lt;&gt;"bitte wählen",INDEX(ListeLebensmittelIFEU,Z$189+1,$P270),"")</f>
        <v/>
      </c>
      <c r="AA270" s="334" t="str" cm="1">
        <f t="array" ref="AA270">IF($C270&lt;&gt;"bitte wählen",INDEX(ListeLebensmittelIFEU,AA$189+1,$P270),"")</f>
        <v/>
      </c>
      <c r="AB270" s="334" t="str" cm="1">
        <f t="array" ref="AB270">IF($C270&lt;&gt;"bitte wählen",INDEX(ListeLebensmittelIFEU,AB$189+1,$P270),"")</f>
        <v/>
      </c>
      <c r="AC270" s="334" t="str" cm="1">
        <f t="array" ref="AC270">IF($C270&lt;&gt;"bitte wählen",INDEX(ListeLebensmittelIFEU,AC$189+1,$P270),"")</f>
        <v/>
      </c>
      <c r="AD270" s="334" t="str" cm="1">
        <f t="array" ref="AD270">IF($C270&lt;&gt;"bitte wählen",INDEX(ListeLebensmittelIFEU,AD$189+1,$P270),"")</f>
        <v/>
      </c>
      <c r="AE270" s="334" t="str" cm="1">
        <f t="array" ref="AE270">IF($C270&lt;&gt;"bitte wählen",INDEX(ListeLebensmittelIFEU,AE$189+1,$P270),"")</f>
        <v/>
      </c>
      <c r="AF270" s="334" t="str" cm="1">
        <f t="array" ref="AF270">IF($C270&lt;&gt;"bitte wählen",INDEX(ListeLebensmittelIFEU,AF$189+1,$P270),"")</f>
        <v/>
      </c>
      <c r="AG270" s="334" t="str" cm="1">
        <f t="array" ref="AG270">IF($C270&lt;&gt;"bitte wählen",INDEX(ListeLebensmittelIFEU,AG$189+1,$P270),"")</f>
        <v/>
      </c>
      <c r="AH270" s="334" t="str" cm="1">
        <f t="array" ref="AH270">IF($C270&lt;&gt;"bitte wählen",INDEX(ListeLebensmittelIFEU,AH$189+1,$P270),"")</f>
        <v/>
      </c>
      <c r="AI270" s="334" t="str" cm="1">
        <f t="array" ref="AI270">IF($C270&lt;&gt;"bitte wählen",INDEX(ListeLebensmittelIFEU,AI$189+1,$P270),"")</f>
        <v/>
      </c>
      <c r="AJ270" s="334" t="str" cm="1">
        <f t="array" ref="AJ270">IF($C270&lt;&gt;"bitte wählen",INDEX(ListeLebensmittelIFEU,AJ$189+1,$P270),"")</f>
        <v/>
      </c>
      <c r="AK270" s="334" t="str" cm="1">
        <f t="array" ref="AK270">IF($C270&lt;&gt;"bitte wählen",INDEX(ListeLebensmittelIFEU,AK$189+1,$P270),"")</f>
        <v/>
      </c>
      <c r="AL270" s="334" t="str" cm="1">
        <f t="array" ref="AL270">IF($C270&lt;&gt;"bitte wählen",INDEX(ListeLebensmittelIFEU,AL$189+1,$P270),"")</f>
        <v/>
      </c>
      <c r="AM270" s="334" t="str" cm="1">
        <f t="array" ref="AM270">IF($C270&lt;&gt;"bitte wählen",INDEX(ListeLebensmittelIFEU,AM$189+1,$P270),"")</f>
        <v/>
      </c>
      <c r="AN270" s="334" t="str" cm="1">
        <f t="array" ref="AN270">IF($C270&lt;&gt;"bitte wählen",INDEX(ListeLebensmittelIFEU,AN$189+1,$P270),"")</f>
        <v/>
      </c>
      <c r="AO270" s="334" t="str" cm="1">
        <f t="array" ref="AO270">IF($C270&lt;&gt;"bitte wählen",INDEX(ListeLebensmittelIFEU,AO$189+1,$P270),"")</f>
        <v/>
      </c>
      <c r="AP270" s="334" t="str" cm="1">
        <f t="array" ref="AP270">IF($C270&lt;&gt;"bitte wählen",INDEX(ListeLebensmittelIFEU,AP$189+1,$P270),"")</f>
        <v/>
      </c>
      <c r="AQ270" s="334" t="str" cm="1">
        <f t="array" ref="AQ270">IF($C270&lt;&gt;"bitte wählen",INDEX(ListeLebensmittelIFEU,AQ$189+1,$P270),"")</f>
        <v/>
      </c>
      <c r="AR270" s="334" t="str" cm="1">
        <f t="array" ref="AR270">IF($C270&lt;&gt;"bitte wählen",INDEX(ListeLebensmittelIFEU,AR$189+1,$P270),"")</f>
        <v/>
      </c>
      <c r="AS270" s="334" t="str" cm="1">
        <f t="array" ref="AS270">IF($C270&lt;&gt;"bitte wählen",INDEX(ListeLebensmittelIFEU,AS$189+1,$P270),"")</f>
        <v/>
      </c>
      <c r="AT270" s="334" t="str" cm="1">
        <f t="array" ref="AT270">IF($C270&lt;&gt;"bitte wählen",INDEX(ListeLebensmittelIFEU,AT$189+1,$P270),"")</f>
        <v/>
      </c>
      <c r="AU270" s="334" t="str" cm="1">
        <f t="array" ref="AU270">IF($C270&lt;&gt;"bitte wählen",INDEX(ListeLebensmittelIFEU,AU$189+1,$P270),"")</f>
        <v/>
      </c>
      <c r="AV270" s="334" t="str" cm="1">
        <f t="array" ref="AV270">IF($C270&lt;&gt;"bitte wählen",INDEX(ListeLebensmittelIFEU,AV$189+1,$P270),"")</f>
        <v/>
      </c>
      <c r="AW270" s="334" t="str" cm="1">
        <f t="array" ref="AW270">IF($C270&lt;&gt;"bitte wählen",INDEX(ListeLebensmittelIFEU,AW$189+1,$P270),"")</f>
        <v/>
      </c>
      <c r="AX270" s="334" t="str" cm="1">
        <f t="array" ref="AX270">IF($C270&lt;&gt;"bitte wählen",INDEX(ListeLebensmittelIFEU,AX$189+1,$P270),"")</f>
        <v/>
      </c>
      <c r="AY270" s="334" t="str" cm="1">
        <f t="array" ref="AY270">IF($C270&lt;&gt;"bitte wählen",INDEX(ListeLebensmittelIFEU,AY$189+1,$P270),"")</f>
        <v/>
      </c>
      <c r="AZ270" s="335" t="str" cm="1">
        <f t="array" ref="AZ270">IF($C270&lt;&gt;"bitte wählen",INDEX(ListeLebensmittelIFEU,AZ$189+1,$P270),"")</f>
        <v/>
      </c>
    </row>
    <row r="271" spans="1:52" x14ac:dyDescent="0.3">
      <c r="B271" t="s">
        <v>329</v>
      </c>
      <c r="C271" s="471" t="s">
        <v>27</v>
      </c>
      <c r="D271" s="472"/>
      <c r="E271" s="349"/>
      <c r="F271" s="473" t="s">
        <v>12</v>
      </c>
      <c r="G271" s="350" t="str">
        <f t="shared" si="44"/>
        <v/>
      </c>
      <c r="H271" s="293" t="str">
        <f t="shared" si="45"/>
        <v/>
      </c>
      <c r="P271" s="333">
        <f t="shared" si="46"/>
        <v>22</v>
      </c>
      <c r="Q271" s="334" t="e">
        <f t="shared" si="49"/>
        <v>#N/A</v>
      </c>
      <c r="R271" s="359">
        <f t="shared" si="47"/>
        <v>0</v>
      </c>
      <c r="S271" s="380">
        <f t="shared" si="48"/>
        <v>0</v>
      </c>
      <c r="T271" s="333" t="str" cm="1">
        <f t="array" ref="T271">IF($C271&lt;&gt;"bitte wählen",INDEX(ListeLebensmittelIFEU,T$189+1,$P271),"")</f>
        <v/>
      </c>
      <c r="U271" s="334" t="str" cm="1">
        <f t="array" ref="U271">IF($C271&lt;&gt;"bitte wählen",INDEX(ListeLebensmittelIFEU,U$189+1,$P271),"")</f>
        <v/>
      </c>
      <c r="V271" s="334" t="str" cm="1">
        <f t="array" ref="V271">IF($C271&lt;&gt;"bitte wählen",INDEX(ListeLebensmittelIFEU,V$189+1,$P271),"")</f>
        <v/>
      </c>
      <c r="W271" s="334" t="str" cm="1">
        <f t="array" ref="W271">IF($C271&lt;&gt;"bitte wählen",INDEX(ListeLebensmittelIFEU,W$189+1,$P271),"")</f>
        <v/>
      </c>
      <c r="X271" s="334" t="str" cm="1">
        <f t="array" ref="X271">IF($C271&lt;&gt;"bitte wählen",INDEX(ListeLebensmittelIFEU,X$189+1,$P271),"")</f>
        <v/>
      </c>
      <c r="Y271" s="334" t="str" cm="1">
        <f t="array" ref="Y271">IF($C271&lt;&gt;"bitte wählen",INDEX(ListeLebensmittelIFEU,Y$189+1,$P271),"")</f>
        <v/>
      </c>
      <c r="Z271" s="334" t="str" cm="1">
        <f t="array" ref="Z271">IF($C271&lt;&gt;"bitte wählen",INDEX(ListeLebensmittelIFEU,Z$189+1,$P271),"")</f>
        <v/>
      </c>
      <c r="AA271" s="334" t="str" cm="1">
        <f t="array" ref="AA271">IF($C271&lt;&gt;"bitte wählen",INDEX(ListeLebensmittelIFEU,AA$189+1,$P271),"")</f>
        <v/>
      </c>
      <c r="AB271" s="334" t="str" cm="1">
        <f t="array" ref="AB271">IF($C271&lt;&gt;"bitte wählen",INDEX(ListeLebensmittelIFEU,AB$189+1,$P271),"")</f>
        <v/>
      </c>
      <c r="AC271" s="334" t="str" cm="1">
        <f t="array" ref="AC271">IF($C271&lt;&gt;"bitte wählen",INDEX(ListeLebensmittelIFEU,AC$189+1,$P271),"")</f>
        <v/>
      </c>
      <c r="AD271" s="334" t="str" cm="1">
        <f t="array" ref="AD271">IF($C271&lt;&gt;"bitte wählen",INDEX(ListeLebensmittelIFEU,AD$189+1,$P271),"")</f>
        <v/>
      </c>
      <c r="AE271" s="334" t="str" cm="1">
        <f t="array" ref="AE271">IF($C271&lt;&gt;"bitte wählen",INDEX(ListeLebensmittelIFEU,AE$189+1,$P271),"")</f>
        <v/>
      </c>
      <c r="AF271" s="334" t="str" cm="1">
        <f t="array" ref="AF271">IF($C271&lt;&gt;"bitte wählen",INDEX(ListeLebensmittelIFEU,AF$189+1,$P271),"")</f>
        <v/>
      </c>
      <c r="AG271" s="334" t="str" cm="1">
        <f t="array" ref="AG271">IF($C271&lt;&gt;"bitte wählen",INDEX(ListeLebensmittelIFEU,AG$189+1,$P271),"")</f>
        <v/>
      </c>
      <c r="AH271" s="334" t="str" cm="1">
        <f t="array" ref="AH271">IF($C271&lt;&gt;"bitte wählen",INDEX(ListeLebensmittelIFEU,AH$189+1,$P271),"")</f>
        <v/>
      </c>
      <c r="AI271" s="334" t="str" cm="1">
        <f t="array" ref="AI271">IF($C271&lt;&gt;"bitte wählen",INDEX(ListeLebensmittelIFEU,AI$189+1,$P271),"")</f>
        <v/>
      </c>
      <c r="AJ271" s="334" t="str" cm="1">
        <f t="array" ref="AJ271">IF($C271&lt;&gt;"bitte wählen",INDEX(ListeLebensmittelIFEU,AJ$189+1,$P271),"")</f>
        <v/>
      </c>
      <c r="AK271" s="334" t="str" cm="1">
        <f t="array" ref="AK271">IF($C271&lt;&gt;"bitte wählen",INDEX(ListeLebensmittelIFEU,AK$189+1,$P271),"")</f>
        <v/>
      </c>
      <c r="AL271" s="334" t="str" cm="1">
        <f t="array" ref="AL271">IF($C271&lt;&gt;"bitte wählen",INDEX(ListeLebensmittelIFEU,AL$189+1,$P271),"")</f>
        <v/>
      </c>
      <c r="AM271" s="334" t="str" cm="1">
        <f t="array" ref="AM271">IF($C271&lt;&gt;"bitte wählen",INDEX(ListeLebensmittelIFEU,AM$189+1,$P271),"")</f>
        <v/>
      </c>
      <c r="AN271" s="334" t="str" cm="1">
        <f t="array" ref="AN271">IF($C271&lt;&gt;"bitte wählen",INDEX(ListeLebensmittelIFEU,AN$189+1,$P271),"")</f>
        <v/>
      </c>
      <c r="AO271" s="334" t="str" cm="1">
        <f t="array" ref="AO271">IF($C271&lt;&gt;"bitte wählen",INDEX(ListeLebensmittelIFEU,AO$189+1,$P271),"")</f>
        <v/>
      </c>
      <c r="AP271" s="334" t="str" cm="1">
        <f t="array" ref="AP271">IF($C271&lt;&gt;"bitte wählen",INDEX(ListeLebensmittelIFEU,AP$189+1,$P271),"")</f>
        <v/>
      </c>
      <c r="AQ271" s="334" t="str" cm="1">
        <f t="array" ref="AQ271">IF($C271&lt;&gt;"bitte wählen",INDEX(ListeLebensmittelIFEU,AQ$189+1,$P271),"")</f>
        <v/>
      </c>
      <c r="AR271" s="334" t="str" cm="1">
        <f t="array" ref="AR271">IF($C271&lt;&gt;"bitte wählen",INDEX(ListeLebensmittelIFEU,AR$189+1,$P271),"")</f>
        <v/>
      </c>
      <c r="AS271" s="334" t="str" cm="1">
        <f t="array" ref="AS271">IF($C271&lt;&gt;"bitte wählen",INDEX(ListeLebensmittelIFEU,AS$189+1,$P271),"")</f>
        <v/>
      </c>
      <c r="AT271" s="334" t="str" cm="1">
        <f t="array" ref="AT271">IF($C271&lt;&gt;"bitte wählen",INDEX(ListeLebensmittelIFEU,AT$189+1,$P271),"")</f>
        <v/>
      </c>
      <c r="AU271" s="334" t="str" cm="1">
        <f t="array" ref="AU271">IF($C271&lt;&gt;"bitte wählen",INDEX(ListeLebensmittelIFEU,AU$189+1,$P271),"")</f>
        <v/>
      </c>
      <c r="AV271" s="334" t="str" cm="1">
        <f t="array" ref="AV271">IF($C271&lt;&gt;"bitte wählen",INDEX(ListeLebensmittelIFEU,AV$189+1,$P271),"")</f>
        <v/>
      </c>
      <c r="AW271" s="334" t="str" cm="1">
        <f t="array" ref="AW271">IF($C271&lt;&gt;"bitte wählen",INDEX(ListeLebensmittelIFEU,AW$189+1,$P271),"")</f>
        <v/>
      </c>
      <c r="AX271" s="334" t="str" cm="1">
        <f t="array" ref="AX271">IF($C271&lt;&gt;"bitte wählen",INDEX(ListeLebensmittelIFEU,AX$189+1,$P271),"")</f>
        <v/>
      </c>
      <c r="AY271" s="334" t="str" cm="1">
        <f t="array" ref="AY271">IF($C271&lt;&gt;"bitte wählen",INDEX(ListeLebensmittelIFEU,AY$189+1,$P271),"")</f>
        <v/>
      </c>
      <c r="AZ271" s="335" t="str" cm="1">
        <f t="array" ref="AZ271">IF($C271&lt;&gt;"bitte wählen",INDEX(ListeLebensmittelIFEU,AZ$189+1,$P271),"")</f>
        <v/>
      </c>
    </row>
    <row r="272" spans="1:52" x14ac:dyDescent="0.3">
      <c r="B272" t="s">
        <v>330</v>
      </c>
      <c r="C272" s="471" t="s">
        <v>27</v>
      </c>
      <c r="D272" s="472"/>
      <c r="E272" s="349"/>
      <c r="F272" s="473" t="s">
        <v>12</v>
      </c>
      <c r="G272" s="350" t="str">
        <f t="shared" si="44"/>
        <v/>
      </c>
      <c r="H272" s="293" t="str">
        <f t="shared" si="45"/>
        <v/>
      </c>
      <c r="P272" s="333">
        <f t="shared" si="46"/>
        <v>22</v>
      </c>
      <c r="Q272" s="334" t="e">
        <f t="shared" si="49"/>
        <v>#N/A</v>
      </c>
      <c r="R272" s="359">
        <f t="shared" si="47"/>
        <v>0</v>
      </c>
      <c r="S272" s="380">
        <f t="shared" si="48"/>
        <v>0</v>
      </c>
      <c r="T272" s="333" t="str" cm="1">
        <f t="array" ref="T272">IF($C272&lt;&gt;"bitte wählen",INDEX(ListeLebensmittelIFEU,T$189+1,$P272),"")</f>
        <v/>
      </c>
      <c r="U272" s="334" t="str" cm="1">
        <f t="array" ref="U272">IF($C272&lt;&gt;"bitte wählen",INDEX(ListeLebensmittelIFEU,U$189+1,$P272),"")</f>
        <v/>
      </c>
      <c r="V272" s="334" t="str" cm="1">
        <f t="array" ref="V272">IF($C272&lt;&gt;"bitte wählen",INDEX(ListeLebensmittelIFEU,V$189+1,$P272),"")</f>
        <v/>
      </c>
      <c r="W272" s="334" t="str" cm="1">
        <f t="array" ref="W272">IF($C272&lt;&gt;"bitte wählen",INDEX(ListeLebensmittelIFEU,W$189+1,$P272),"")</f>
        <v/>
      </c>
      <c r="X272" s="334" t="str" cm="1">
        <f t="array" ref="X272">IF($C272&lt;&gt;"bitte wählen",INDEX(ListeLebensmittelIFEU,X$189+1,$P272),"")</f>
        <v/>
      </c>
      <c r="Y272" s="334" t="str" cm="1">
        <f t="array" ref="Y272">IF($C272&lt;&gt;"bitte wählen",INDEX(ListeLebensmittelIFEU,Y$189+1,$P272),"")</f>
        <v/>
      </c>
      <c r="Z272" s="334" t="str" cm="1">
        <f t="array" ref="Z272">IF($C272&lt;&gt;"bitte wählen",INDEX(ListeLebensmittelIFEU,Z$189+1,$P272),"")</f>
        <v/>
      </c>
      <c r="AA272" s="334" t="str" cm="1">
        <f t="array" ref="AA272">IF($C272&lt;&gt;"bitte wählen",INDEX(ListeLebensmittelIFEU,AA$189+1,$P272),"")</f>
        <v/>
      </c>
      <c r="AB272" s="334" t="str" cm="1">
        <f t="array" ref="AB272">IF($C272&lt;&gt;"bitte wählen",INDEX(ListeLebensmittelIFEU,AB$189+1,$P272),"")</f>
        <v/>
      </c>
      <c r="AC272" s="334" t="str" cm="1">
        <f t="array" ref="AC272">IF($C272&lt;&gt;"bitte wählen",INDEX(ListeLebensmittelIFEU,AC$189+1,$P272),"")</f>
        <v/>
      </c>
      <c r="AD272" s="334" t="str" cm="1">
        <f t="array" ref="AD272">IF($C272&lt;&gt;"bitte wählen",INDEX(ListeLebensmittelIFEU,AD$189+1,$P272),"")</f>
        <v/>
      </c>
      <c r="AE272" s="334" t="str" cm="1">
        <f t="array" ref="AE272">IF($C272&lt;&gt;"bitte wählen",INDEX(ListeLebensmittelIFEU,AE$189+1,$P272),"")</f>
        <v/>
      </c>
      <c r="AF272" s="334" t="str" cm="1">
        <f t="array" ref="AF272">IF($C272&lt;&gt;"bitte wählen",INDEX(ListeLebensmittelIFEU,AF$189+1,$P272),"")</f>
        <v/>
      </c>
      <c r="AG272" s="334" t="str" cm="1">
        <f t="array" ref="AG272">IF($C272&lt;&gt;"bitte wählen",INDEX(ListeLebensmittelIFEU,AG$189+1,$P272),"")</f>
        <v/>
      </c>
      <c r="AH272" s="334" t="str" cm="1">
        <f t="array" ref="AH272">IF($C272&lt;&gt;"bitte wählen",INDEX(ListeLebensmittelIFEU,AH$189+1,$P272),"")</f>
        <v/>
      </c>
      <c r="AI272" s="334" t="str" cm="1">
        <f t="array" ref="AI272">IF($C272&lt;&gt;"bitte wählen",INDEX(ListeLebensmittelIFEU,AI$189+1,$P272),"")</f>
        <v/>
      </c>
      <c r="AJ272" s="334" t="str" cm="1">
        <f t="array" ref="AJ272">IF($C272&lt;&gt;"bitte wählen",INDEX(ListeLebensmittelIFEU,AJ$189+1,$P272),"")</f>
        <v/>
      </c>
      <c r="AK272" s="334" t="str" cm="1">
        <f t="array" ref="AK272">IF($C272&lt;&gt;"bitte wählen",INDEX(ListeLebensmittelIFEU,AK$189+1,$P272),"")</f>
        <v/>
      </c>
      <c r="AL272" s="334" t="str" cm="1">
        <f t="array" ref="AL272">IF($C272&lt;&gt;"bitte wählen",INDEX(ListeLebensmittelIFEU,AL$189+1,$P272),"")</f>
        <v/>
      </c>
      <c r="AM272" s="334" t="str" cm="1">
        <f t="array" ref="AM272">IF($C272&lt;&gt;"bitte wählen",INDEX(ListeLebensmittelIFEU,AM$189+1,$P272),"")</f>
        <v/>
      </c>
      <c r="AN272" s="334" t="str" cm="1">
        <f t="array" ref="AN272">IF($C272&lt;&gt;"bitte wählen",INDEX(ListeLebensmittelIFEU,AN$189+1,$P272),"")</f>
        <v/>
      </c>
      <c r="AO272" s="334" t="str" cm="1">
        <f t="array" ref="AO272">IF($C272&lt;&gt;"bitte wählen",INDEX(ListeLebensmittelIFEU,AO$189+1,$P272),"")</f>
        <v/>
      </c>
      <c r="AP272" s="334" t="str" cm="1">
        <f t="array" ref="AP272">IF($C272&lt;&gt;"bitte wählen",INDEX(ListeLebensmittelIFEU,AP$189+1,$P272),"")</f>
        <v/>
      </c>
      <c r="AQ272" s="334" t="str" cm="1">
        <f t="array" ref="AQ272">IF($C272&lt;&gt;"bitte wählen",INDEX(ListeLebensmittelIFEU,AQ$189+1,$P272),"")</f>
        <v/>
      </c>
      <c r="AR272" s="334" t="str" cm="1">
        <f t="array" ref="AR272">IF($C272&lt;&gt;"bitte wählen",INDEX(ListeLebensmittelIFEU,AR$189+1,$P272),"")</f>
        <v/>
      </c>
      <c r="AS272" s="334" t="str" cm="1">
        <f t="array" ref="AS272">IF($C272&lt;&gt;"bitte wählen",INDEX(ListeLebensmittelIFEU,AS$189+1,$P272),"")</f>
        <v/>
      </c>
      <c r="AT272" s="334" t="str" cm="1">
        <f t="array" ref="AT272">IF($C272&lt;&gt;"bitte wählen",INDEX(ListeLebensmittelIFEU,AT$189+1,$P272),"")</f>
        <v/>
      </c>
      <c r="AU272" s="334" t="str" cm="1">
        <f t="array" ref="AU272">IF($C272&lt;&gt;"bitte wählen",INDEX(ListeLebensmittelIFEU,AU$189+1,$P272),"")</f>
        <v/>
      </c>
      <c r="AV272" s="334" t="str" cm="1">
        <f t="array" ref="AV272">IF($C272&lt;&gt;"bitte wählen",INDEX(ListeLebensmittelIFEU,AV$189+1,$P272),"")</f>
        <v/>
      </c>
      <c r="AW272" s="334" t="str" cm="1">
        <f t="array" ref="AW272">IF($C272&lt;&gt;"bitte wählen",INDEX(ListeLebensmittelIFEU,AW$189+1,$P272),"")</f>
        <v/>
      </c>
      <c r="AX272" s="334" t="str" cm="1">
        <f t="array" ref="AX272">IF($C272&lt;&gt;"bitte wählen",INDEX(ListeLebensmittelIFEU,AX$189+1,$P272),"")</f>
        <v/>
      </c>
      <c r="AY272" s="334" t="str" cm="1">
        <f t="array" ref="AY272">IF($C272&lt;&gt;"bitte wählen",INDEX(ListeLebensmittelIFEU,AY$189+1,$P272),"")</f>
        <v/>
      </c>
      <c r="AZ272" s="335" t="str" cm="1">
        <f t="array" ref="AZ272">IF($C272&lt;&gt;"bitte wählen",INDEX(ListeLebensmittelIFEU,AZ$189+1,$P272),"")</f>
        <v/>
      </c>
    </row>
    <row r="273" spans="1:52" x14ac:dyDescent="0.3">
      <c r="B273" t="s">
        <v>398</v>
      </c>
      <c r="C273" s="471" t="s">
        <v>27</v>
      </c>
      <c r="D273" s="472"/>
      <c r="E273" s="349"/>
      <c r="F273" s="473" t="s">
        <v>12</v>
      </c>
      <c r="G273" s="350" t="str">
        <f t="shared" si="44"/>
        <v/>
      </c>
      <c r="H273" s="293" t="str">
        <f t="shared" si="45"/>
        <v/>
      </c>
      <c r="P273" s="336">
        <f t="shared" si="46"/>
        <v>22</v>
      </c>
      <c r="Q273" s="337" t="e">
        <f t="shared" si="49"/>
        <v>#N/A</v>
      </c>
      <c r="R273" s="360">
        <f t="shared" si="47"/>
        <v>0</v>
      </c>
      <c r="S273" s="381">
        <f t="shared" si="48"/>
        <v>0</v>
      </c>
      <c r="T273" s="336" t="str" cm="1">
        <f t="array" ref="T273">IF($C273&lt;&gt;"bitte wählen",INDEX(ListeLebensmittelIFEU,T$189+1,$P273),"")</f>
        <v/>
      </c>
      <c r="U273" s="337" t="str" cm="1">
        <f t="array" ref="U273">IF($C273&lt;&gt;"bitte wählen",INDEX(ListeLebensmittelIFEU,U$189+1,$P273),"")</f>
        <v/>
      </c>
      <c r="V273" s="337" t="str" cm="1">
        <f t="array" ref="V273">IF($C273&lt;&gt;"bitte wählen",INDEX(ListeLebensmittelIFEU,V$189+1,$P273),"")</f>
        <v/>
      </c>
      <c r="W273" s="337" t="str" cm="1">
        <f t="array" ref="W273">IF($C273&lt;&gt;"bitte wählen",INDEX(ListeLebensmittelIFEU,W$189+1,$P273),"")</f>
        <v/>
      </c>
      <c r="X273" s="337" t="str" cm="1">
        <f t="array" ref="X273">IF($C273&lt;&gt;"bitte wählen",INDEX(ListeLebensmittelIFEU,X$189+1,$P273),"")</f>
        <v/>
      </c>
      <c r="Y273" s="337" t="str" cm="1">
        <f t="array" ref="Y273">IF($C273&lt;&gt;"bitte wählen",INDEX(ListeLebensmittelIFEU,Y$189+1,$P273),"")</f>
        <v/>
      </c>
      <c r="Z273" s="337" t="str" cm="1">
        <f t="array" ref="Z273">IF($C273&lt;&gt;"bitte wählen",INDEX(ListeLebensmittelIFEU,Z$189+1,$P273),"")</f>
        <v/>
      </c>
      <c r="AA273" s="337" t="str" cm="1">
        <f t="array" ref="AA273">IF($C273&lt;&gt;"bitte wählen",INDEX(ListeLebensmittelIFEU,AA$189+1,$P273),"")</f>
        <v/>
      </c>
      <c r="AB273" s="337" t="str" cm="1">
        <f t="array" ref="AB273">IF($C273&lt;&gt;"bitte wählen",INDEX(ListeLebensmittelIFEU,AB$189+1,$P273),"")</f>
        <v/>
      </c>
      <c r="AC273" s="337" t="str" cm="1">
        <f t="array" ref="AC273">IF($C273&lt;&gt;"bitte wählen",INDEX(ListeLebensmittelIFEU,AC$189+1,$P273),"")</f>
        <v/>
      </c>
      <c r="AD273" s="337" t="str" cm="1">
        <f t="array" ref="AD273">IF($C273&lt;&gt;"bitte wählen",INDEX(ListeLebensmittelIFEU,AD$189+1,$P273),"")</f>
        <v/>
      </c>
      <c r="AE273" s="337" t="str" cm="1">
        <f t="array" ref="AE273">IF($C273&lt;&gt;"bitte wählen",INDEX(ListeLebensmittelIFEU,AE$189+1,$P273),"")</f>
        <v/>
      </c>
      <c r="AF273" s="337" t="str" cm="1">
        <f t="array" ref="AF273">IF($C273&lt;&gt;"bitte wählen",INDEX(ListeLebensmittelIFEU,AF$189+1,$P273),"")</f>
        <v/>
      </c>
      <c r="AG273" s="337" t="str" cm="1">
        <f t="array" ref="AG273">IF($C273&lt;&gt;"bitte wählen",INDEX(ListeLebensmittelIFEU,AG$189+1,$P273),"")</f>
        <v/>
      </c>
      <c r="AH273" s="337" t="str" cm="1">
        <f t="array" ref="AH273">IF($C273&lt;&gt;"bitte wählen",INDEX(ListeLebensmittelIFEU,AH$189+1,$P273),"")</f>
        <v/>
      </c>
      <c r="AI273" s="337" t="str" cm="1">
        <f t="array" ref="AI273">IF($C273&lt;&gt;"bitte wählen",INDEX(ListeLebensmittelIFEU,AI$189+1,$P273),"")</f>
        <v/>
      </c>
      <c r="AJ273" s="337" t="str" cm="1">
        <f t="array" ref="AJ273">IF($C273&lt;&gt;"bitte wählen",INDEX(ListeLebensmittelIFEU,AJ$189+1,$P273),"")</f>
        <v/>
      </c>
      <c r="AK273" s="337" t="str" cm="1">
        <f t="array" ref="AK273">IF($C273&lt;&gt;"bitte wählen",INDEX(ListeLebensmittelIFEU,AK$189+1,$P273),"")</f>
        <v/>
      </c>
      <c r="AL273" s="337" t="str" cm="1">
        <f t="array" ref="AL273">IF($C273&lt;&gt;"bitte wählen",INDEX(ListeLebensmittelIFEU,AL$189+1,$P273),"")</f>
        <v/>
      </c>
      <c r="AM273" s="337" t="str" cm="1">
        <f t="array" ref="AM273">IF($C273&lt;&gt;"bitte wählen",INDEX(ListeLebensmittelIFEU,AM$189+1,$P273),"")</f>
        <v/>
      </c>
      <c r="AN273" s="337" t="str" cm="1">
        <f t="array" ref="AN273">IF($C273&lt;&gt;"bitte wählen",INDEX(ListeLebensmittelIFEU,AN$189+1,$P273),"")</f>
        <v/>
      </c>
      <c r="AO273" s="337" t="str" cm="1">
        <f t="array" ref="AO273">IF($C273&lt;&gt;"bitte wählen",INDEX(ListeLebensmittelIFEU,AO$189+1,$P273),"")</f>
        <v/>
      </c>
      <c r="AP273" s="337" t="str" cm="1">
        <f t="array" ref="AP273">IF($C273&lt;&gt;"bitte wählen",INDEX(ListeLebensmittelIFEU,AP$189+1,$P273),"")</f>
        <v/>
      </c>
      <c r="AQ273" s="337" t="str" cm="1">
        <f t="array" ref="AQ273">IF($C273&lt;&gt;"bitte wählen",INDEX(ListeLebensmittelIFEU,AQ$189+1,$P273),"")</f>
        <v/>
      </c>
      <c r="AR273" s="337" t="str" cm="1">
        <f t="array" ref="AR273">IF($C273&lt;&gt;"bitte wählen",INDEX(ListeLebensmittelIFEU,AR$189+1,$P273),"")</f>
        <v/>
      </c>
      <c r="AS273" s="337" t="str" cm="1">
        <f t="array" ref="AS273">IF($C273&lt;&gt;"bitte wählen",INDEX(ListeLebensmittelIFEU,AS$189+1,$P273),"")</f>
        <v/>
      </c>
      <c r="AT273" s="337" t="str" cm="1">
        <f t="array" ref="AT273">IF($C273&lt;&gt;"bitte wählen",INDEX(ListeLebensmittelIFEU,AT$189+1,$P273),"")</f>
        <v/>
      </c>
      <c r="AU273" s="337" t="str" cm="1">
        <f t="array" ref="AU273">IF($C273&lt;&gt;"bitte wählen",INDEX(ListeLebensmittelIFEU,AU$189+1,$P273),"")</f>
        <v/>
      </c>
      <c r="AV273" s="337" t="str" cm="1">
        <f t="array" ref="AV273">IF($C273&lt;&gt;"bitte wählen",INDEX(ListeLebensmittelIFEU,AV$189+1,$P273),"")</f>
        <v/>
      </c>
      <c r="AW273" s="337" t="str" cm="1">
        <f t="array" ref="AW273">IF($C273&lt;&gt;"bitte wählen",INDEX(ListeLebensmittelIFEU,AW$189+1,$P273),"")</f>
        <v/>
      </c>
      <c r="AX273" s="337" t="str" cm="1">
        <f t="array" ref="AX273">IF($C273&lt;&gt;"bitte wählen",INDEX(ListeLebensmittelIFEU,AX$189+1,$P273),"")</f>
        <v/>
      </c>
      <c r="AY273" s="337" t="str" cm="1">
        <f t="array" ref="AY273">IF($C273&lt;&gt;"bitte wählen",INDEX(ListeLebensmittelIFEU,AY$189+1,$P273),"")</f>
        <v/>
      </c>
      <c r="AZ273" s="338" t="str" cm="1">
        <f t="array" ref="AZ273">IF($C273&lt;&gt;"bitte wählen",INDEX(ListeLebensmittelIFEU,AZ$189+1,$P273),"")</f>
        <v/>
      </c>
    </row>
    <row r="274" spans="1:52" x14ac:dyDescent="0.3">
      <c r="B274" s="105" t="str">
        <f>IF(R274,IF(E274/IF(D266="",1,D266)&lt;GewichtMittagessenMin,"Hinweis: Dies scheint eine relativ kleine Portion zu sein",IF(E274/IF(D266="",1,D266)&gt;GewichtMittagessenMax,"Hinweis: Dies scheint eine relativ große Portion zu sein","")),"")</f>
        <v/>
      </c>
      <c r="C274" s="78"/>
      <c r="D274" s="78"/>
      <c r="E274" s="355">
        <f>SUM(E268:E273)-SUMIF(C268:C273,"Getränke",E268:E273)</f>
        <v>0</v>
      </c>
      <c r="G274" s="15" t="s">
        <v>622</v>
      </c>
      <c r="H274" s="293">
        <f>SUM(H268:H273)</f>
        <v>0</v>
      </c>
      <c r="Q274" s="383" t="s">
        <v>1030</v>
      </c>
      <c r="R274" s="386" t="b">
        <f>IF(SUM(R268:R273)&gt;0,TRUE,FALSE)</f>
        <v>0</v>
      </c>
      <c r="S274" s="383">
        <f>SUM(S268:S273)</f>
        <v>0</v>
      </c>
      <c r="T274" s="383" t="s">
        <v>1029</v>
      </c>
      <c r="U274" s="383" t="str">
        <f>IF(R274,IF(S274&gt;9,10,IF(S274&gt;0,1,0)),"")</f>
        <v/>
      </c>
    </row>
    <row r="275" spans="1:52" x14ac:dyDescent="0.3">
      <c r="B275" s="385" t="str">
        <f>IF(U274=0,"🌱 vegan","")</f>
        <v/>
      </c>
      <c r="C275" s="105" t="str">
        <f>IF(U274=1,"Ⓥ vegetarisch","")</f>
        <v/>
      </c>
      <c r="D275" s="384" t="str">
        <f>IF(U274=10,"🥩 mit Fleisch/Fisch","")</f>
        <v/>
      </c>
      <c r="E275" s="78"/>
      <c r="G275" s="15" t="s">
        <v>623</v>
      </c>
      <c r="H275" s="294">
        <f>IF(D266="",H274,H274/D266)</f>
        <v>0</v>
      </c>
    </row>
    <row r="276" spans="1:52" x14ac:dyDescent="0.3">
      <c r="T276" s="84"/>
    </row>
    <row r="277" spans="1:52" ht="18" thickBot="1" x14ac:dyDescent="0.4">
      <c r="B277" s="496" t="str">
        <f>"CO₂-Bilanz Gericht 8: "&amp;D278</f>
        <v>CO₂-Bilanz Gericht 8: Menü 8</v>
      </c>
      <c r="C277" s="496"/>
      <c r="D277" s="496"/>
      <c r="E277" s="496"/>
      <c r="T277" s="84"/>
    </row>
    <row r="278" spans="1:52" ht="15" thickTop="1" x14ac:dyDescent="0.3">
      <c r="B278" t="s">
        <v>994</v>
      </c>
      <c r="D278" s="288" t="s">
        <v>1000</v>
      </c>
      <c r="F278" s="78"/>
      <c r="G278" s="78"/>
      <c r="H278" s="78"/>
      <c r="I278" s="78"/>
    </row>
    <row r="279" spans="1:52" x14ac:dyDescent="0.3">
      <c r="B279" t="s">
        <v>995</v>
      </c>
      <c r="C279" s="78"/>
      <c r="D279" s="291">
        <v>1</v>
      </c>
      <c r="E279" s="301" t="str">
        <f>IF(ISNUMBER(FIND("g",_xlfn.CONCAT(E281:E286))),"Bitte Menge als reine Zahl ohne Zusatz g eingeben","")</f>
        <v/>
      </c>
      <c r="G279" s="78"/>
      <c r="H279" s="78"/>
      <c r="T279" s="329" t="s">
        <v>918</v>
      </c>
      <c r="U279" s="330"/>
      <c r="V279" s="330"/>
      <c r="W279" s="330"/>
      <c r="X279" s="330"/>
      <c r="Y279" s="330"/>
    </row>
    <row r="280" spans="1:52" ht="44.4" x14ac:dyDescent="0.35">
      <c r="A280" s="376" t="s">
        <v>1217</v>
      </c>
      <c r="C280" s="297" t="s">
        <v>993</v>
      </c>
      <c r="D280" s="313" t="s">
        <v>992</v>
      </c>
      <c r="E280" s="298" t="s">
        <v>323</v>
      </c>
      <c r="F280" s="298" t="s">
        <v>324</v>
      </c>
      <c r="G280" s="296" t="s">
        <v>534</v>
      </c>
      <c r="H280" s="296" t="s">
        <v>535</v>
      </c>
      <c r="P280" s="356" t="s">
        <v>956</v>
      </c>
      <c r="Q280" s="356" t="s">
        <v>957</v>
      </c>
      <c r="R280" s="357" t="s">
        <v>958</v>
      </c>
      <c r="S280" s="357" t="s">
        <v>1028</v>
      </c>
      <c r="T280" s="361">
        <v>1</v>
      </c>
      <c r="U280" s="362">
        <v>2</v>
      </c>
      <c r="V280" s="362">
        <v>3</v>
      </c>
      <c r="W280" s="362">
        <v>4</v>
      </c>
      <c r="X280" s="362">
        <v>5</v>
      </c>
      <c r="Y280" s="362">
        <v>6</v>
      </c>
      <c r="Z280" s="362">
        <v>7</v>
      </c>
      <c r="AA280" s="362">
        <v>8</v>
      </c>
      <c r="AB280" s="362">
        <v>9</v>
      </c>
      <c r="AC280" s="362">
        <v>10</v>
      </c>
      <c r="AD280" s="362">
        <v>11</v>
      </c>
      <c r="AE280" s="362">
        <v>12</v>
      </c>
      <c r="AF280" s="362">
        <v>13</v>
      </c>
      <c r="AG280" s="362">
        <v>14</v>
      </c>
      <c r="AH280" s="362">
        <v>15</v>
      </c>
      <c r="AI280" s="362">
        <v>16</v>
      </c>
      <c r="AJ280" s="362">
        <v>17</v>
      </c>
      <c r="AK280" s="362">
        <v>18</v>
      </c>
      <c r="AL280" s="362">
        <v>19</v>
      </c>
      <c r="AM280" s="362">
        <v>20</v>
      </c>
      <c r="AN280" s="362">
        <v>21</v>
      </c>
      <c r="AO280" s="362">
        <v>22</v>
      </c>
      <c r="AP280" s="362">
        <v>23</v>
      </c>
      <c r="AQ280" s="362">
        <v>24</v>
      </c>
      <c r="AR280" s="362">
        <v>25</v>
      </c>
      <c r="AS280" s="362">
        <v>26</v>
      </c>
      <c r="AT280" s="362">
        <v>27</v>
      </c>
      <c r="AU280" s="362">
        <v>28</v>
      </c>
      <c r="AV280" s="362">
        <v>29</v>
      </c>
      <c r="AW280" s="362">
        <v>30</v>
      </c>
      <c r="AX280" s="362">
        <v>31</v>
      </c>
      <c r="AY280" s="362">
        <v>32</v>
      </c>
      <c r="AZ280" s="363">
        <v>33</v>
      </c>
    </row>
    <row r="281" spans="1:52" x14ac:dyDescent="0.3">
      <c r="B281" t="s">
        <v>13</v>
      </c>
      <c r="C281" s="471" t="s">
        <v>27</v>
      </c>
      <c r="D281" s="472"/>
      <c r="E281" s="470"/>
      <c r="F281" s="473" t="s">
        <v>12</v>
      </c>
      <c r="G281" s="350" t="str">
        <f t="shared" ref="G281:G286" si="50">IF(D281="","",R281*IF(F281="Ja",FaktorBeiLokalemProdukt,1))</f>
        <v/>
      </c>
      <c r="H281" s="293" t="str">
        <f t="shared" ref="H281:H286" si="51">IF(D281="","",E281*G281)</f>
        <v/>
      </c>
      <c r="P281" s="331">
        <f t="shared" ref="P281:P286" si="52">VLOOKUP(C281,$C$457:$D$464,2,FALSE)</f>
        <v>22</v>
      </c>
      <c r="Q281" s="332" t="e">
        <f>MATCH(D281,T281:AZ281,0)</f>
        <v>#N/A</v>
      </c>
      <c r="R281" s="358">
        <f t="shared" ref="R281:R286" si="53">_xlfn.IFNA(IF(D281&lt;&gt;"",VLOOKUP(D281,$C$544:$E$774,2,FALSE),0),0)</f>
        <v>0</v>
      </c>
      <c r="S281" s="358">
        <f t="shared" ref="S281:S286" si="54">_xlfn.IFNA(IF(D281&lt;&gt;"",VLOOKUP(D281,$C$544:$E$774,3,FALSE),0),0)</f>
        <v>0</v>
      </c>
      <c r="T281" s="333" t="str" cm="1">
        <f t="array" ref="T281">IF($C281&lt;&gt;"bitte wählen",INDEX(ListeLebensmittelIFEU,T$189+1,$P281),"")</f>
        <v/>
      </c>
      <c r="U281" s="334" t="str" cm="1">
        <f t="array" ref="U281">IF($C281&lt;&gt;"bitte wählen",INDEX(ListeLebensmittelIFEU,U$189+1,$P281),"")</f>
        <v/>
      </c>
      <c r="V281" s="334" t="str" cm="1">
        <f t="array" ref="V281">IF($C281&lt;&gt;"bitte wählen",INDEX(ListeLebensmittelIFEU,V$189+1,$P281),"")</f>
        <v/>
      </c>
      <c r="W281" s="334" t="str" cm="1">
        <f t="array" ref="W281">IF($C281&lt;&gt;"bitte wählen",INDEX(ListeLebensmittelIFEU,W$189+1,$P281),"")</f>
        <v/>
      </c>
      <c r="X281" s="334" t="str" cm="1">
        <f t="array" ref="X281">IF($C281&lt;&gt;"bitte wählen",INDEX(ListeLebensmittelIFEU,X$189+1,$P281),"")</f>
        <v/>
      </c>
      <c r="Y281" s="334" t="str" cm="1">
        <f t="array" ref="Y281">IF($C281&lt;&gt;"bitte wählen",INDEX(ListeLebensmittelIFEU,Y$189+1,$P281),"")</f>
        <v/>
      </c>
      <c r="Z281" s="334" t="str" cm="1">
        <f t="array" ref="Z281">IF($C281&lt;&gt;"bitte wählen",INDEX(ListeLebensmittelIFEU,Z$189+1,$P281),"")</f>
        <v/>
      </c>
      <c r="AA281" s="334" t="str" cm="1">
        <f t="array" ref="AA281">IF($C281&lt;&gt;"bitte wählen",INDEX(ListeLebensmittelIFEU,AA$189+1,$P281),"")</f>
        <v/>
      </c>
      <c r="AB281" s="334" t="str" cm="1">
        <f t="array" ref="AB281">IF($C281&lt;&gt;"bitte wählen",INDEX(ListeLebensmittelIFEU,AB$189+1,$P281),"")</f>
        <v/>
      </c>
      <c r="AC281" s="334" t="str" cm="1">
        <f t="array" ref="AC281">IF($C281&lt;&gt;"bitte wählen",INDEX(ListeLebensmittelIFEU,AC$189+1,$P281),"")</f>
        <v/>
      </c>
      <c r="AD281" s="334" t="str" cm="1">
        <f t="array" ref="AD281">IF($C281&lt;&gt;"bitte wählen",INDEX(ListeLebensmittelIFEU,AD$189+1,$P281),"")</f>
        <v/>
      </c>
      <c r="AE281" s="334" t="str" cm="1">
        <f t="array" ref="AE281">IF($C281&lt;&gt;"bitte wählen",INDEX(ListeLebensmittelIFEU,AE$189+1,$P281),"")</f>
        <v/>
      </c>
      <c r="AF281" s="334" t="str" cm="1">
        <f t="array" ref="AF281">IF($C281&lt;&gt;"bitte wählen",INDEX(ListeLebensmittelIFEU,AF$189+1,$P281),"")</f>
        <v/>
      </c>
      <c r="AG281" s="334" t="str" cm="1">
        <f t="array" ref="AG281">IF($C281&lt;&gt;"bitte wählen",INDEX(ListeLebensmittelIFEU,AG$189+1,$P281),"")</f>
        <v/>
      </c>
      <c r="AH281" s="334" t="str" cm="1">
        <f t="array" ref="AH281">IF($C281&lt;&gt;"bitte wählen",INDEX(ListeLebensmittelIFEU,AH$189+1,$P281),"")</f>
        <v/>
      </c>
      <c r="AI281" s="334" t="str" cm="1">
        <f t="array" ref="AI281">IF($C281&lt;&gt;"bitte wählen",INDEX(ListeLebensmittelIFEU,AI$189+1,$P281),"")</f>
        <v/>
      </c>
      <c r="AJ281" s="334" t="str" cm="1">
        <f t="array" ref="AJ281">IF($C281&lt;&gt;"bitte wählen",INDEX(ListeLebensmittelIFEU,AJ$189+1,$P281),"")</f>
        <v/>
      </c>
      <c r="AK281" s="334" t="str" cm="1">
        <f t="array" ref="AK281">IF($C281&lt;&gt;"bitte wählen",INDEX(ListeLebensmittelIFEU,AK$189+1,$P281),"")</f>
        <v/>
      </c>
      <c r="AL281" s="334" t="str" cm="1">
        <f t="array" ref="AL281">IF($C281&lt;&gt;"bitte wählen",INDEX(ListeLebensmittelIFEU,AL$189+1,$P281),"")</f>
        <v/>
      </c>
      <c r="AM281" s="334" t="str" cm="1">
        <f t="array" ref="AM281">IF($C281&lt;&gt;"bitte wählen",INDEX(ListeLebensmittelIFEU,AM$189+1,$P281),"")</f>
        <v/>
      </c>
      <c r="AN281" s="334" t="str" cm="1">
        <f t="array" ref="AN281">IF($C281&lt;&gt;"bitte wählen",INDEX(ListeLebensmittelIFEU,AN$189+1,$P281),"")</f>
        <v/>
      </c>
      <c r="AO281" s="334" t="str" cm="1">
        <f t="array" ref="AO281">IF($C281&lt;&gt;"bitte wählen",INDEX(ListeLebensmittelIFEU,AO$189+1,$P281),"")</f>
        <v/>
      </c>
      <c r="AP281" s="334" t="str" cm="1">
        <f t="array" ref="AP281">IF($C281&lt;&gt;"bitte wählen",INDEX(ListeLebensmittelIFEU,AP$189+1,$P281),"")</f>
        <v/>
      </c>
      <c r="AQ281" s="334" t="str" cm="1">
        <f t="array" ref="AQ281">IF($C281&lt;&gt;"bitte wählen",INDEX(ListeLebensmittelIFEU,AQ$189+1,$P281),"")</f>
        <v/>
      </c>
      <c r="AR281" s="334" t="str" cm="1">
        <f t="array" ref="AR281">IF($C281&lt;&gt;"bitte wählen",INDEX(ListeLebensmittelIFEU,AR$189+1,$P281),"")</f>
        <v/>
      </c>
      <c r="AS281" s="334" t="str" cm="1">
        <f t="array" ref="AS281">IF($C281&lt;&gt;"bitte wählen",INDEX(ListeLebensmittelIFEU,AS$189+1,$P281),"")</f>
        <v/>
      </c>
      <c r="AT281" s="334" t="str" cm="1">
        <f t="array" ref="AT281">IF($C281&lt;&gt;"bitte wählen",INDEX(ListeLebensmittelIFEU,AT$189+1,$P281),"")</f>
        <v/>
      </c>
      <c r="AU281" s="334" t="str" cm="1">
        <f t="array" ref="AU281">IF($C281&lt;&gt;"bitte wählen",INDEX(ListeLebensmittelIFEU,AU$189+1,$P281),"")</f>
        <v/>
      </c>
      <c r="AV281" s="334" t="str" cm="1">
        <f t="array" ref="AV281">IF($C281&lt;&gt;"bitte wählen",INDEX(ListeLebensmittelIFEU,AV$189+1,$P281),"")</f>
        <v/>
      </c>
      <c r="AW281" s="334" t="str" cm="1">
        <f t="array" ref="AW281">IF($C281&lt;&gt;"bitte wählen",INDEX(ListeLebensmittelIFEU,AW$189+1,$P281),"")</f>
        <v/>
      </c>
      <c r="AX281" s="334" t="str" cm="1">
        <f t="array" ref="AX281">IF($C281&lt;&gt;"bitte wählen",INDEX(ListeLebensmittelIFEU,AX$189+1,$P281),"")</f>
        <v/>
      </c>
      <c r="AY281" s="334" t="str" cm="1">
        <f t="array" ref="AY281">IF($C281&lt;&gt;"bitte wählen",INDEX(ListeLebensmittelIFEU,AY$189+1,$P281),"")</f>
        <v/>
      </c>
      <c r="AZ281" s="335" t="str" cm="1">
        <f t="array" ref="AZ281">IF($C281&lt;&gt;"bitte wählen",INDEX(ListeLebensmittelIFEU,AZ$189+1,$P281),"")</f>
        <v/>
      </c>
    </row>
    <row r="282" spans="1:52" x14ac:dyDescent="0.3">
      <c r="B282" t="s">
        <v>327</v>
      </c>
      <c r="C282" s="471" t="s">
        <v>27</v>
      </c>
      <c r="D282" s="472"/>
      <c r="E282" s="349"/>
      <c r="F282" s="473" t="s">
        <v>12</v>
      </c>
      <c r="G282" s="350" t="str">
        <f t="shared" si="50"/>
        <v/>
      </c>
      <c r="H282" s="293" t="str">
        <f t="shared" si="51"/>
        <v/>
      </c>
      <c r="P282" s="333">
        <f t="shared" si="52"/>
        <v>22</v>
      </c>
      <c r="Q282" s="334" t="e">
        <f t="shared" ref="Q282:Q286" si="55">MATCH(D282,T282:AZ282,0)</f>
        <v>#N/A</v>
      </c>
      <c r="R282" s="359">
        <f t="shared" si="53"/>
        <v>0</v>
      </c>
      <c r="S282" s="380">
        <f t="shared" si="54"/>
        <v>0</v>
      </c>
      <c r="T282" s="333" t="str" cm="1">
        <f t="array" ref="T282">IF($C282&lt;&gt;"bitte wählen",INDEX(ListeLebensmittelIFEU,T$189+1,$P282),"")</f>
        <v/>
      </c>
      <c r="U282" s="334" t="str" cm="1">
        <f t="array" ref="U282">IF($C282&lt;&gt;"bitte wählen",INDEX(ListeLebensmittelIFEU,U$189+1,$P282),"")</f>
        <v/>
      </c>
      <c r="V282" s="334" t="str" cm="1">
        <f t="array" ref="V282">IF($C282&lt;&gt;"bitte wählen",INDEX(ListeLebensmittelIFEU,V$189+1,$P282),"")</f>
        <v/>
      </c>
      <c r="W282" s="334" t="str" cm="1">
        <f t="array" ref="W282">IF($C282&lt;&gt;"bitte wählen",INDEX(ListeLebensmittelIFEU,W$189+1,$P282),"")</f>
        <v/>
      </c>
      <c r="X282" s="334" t="str" cm="1">
        <f t="array" ref="X282">IF($C282&lt;&gt;"bitte wählen",INDEX(ListeLebensmittelIFEU,X$189+1,$P282),"")</f>
        <v/>
      </c>
      <c r="Y282" s="334" t="str" cm="1">
        <f t="array" ref="Y282">IF($C282&lt;&gt;"bitte wählen",INDEX(ListeLebensmittelIFEU,Y$189+1,$P282),"")</f>
        <v/>
      </c>
      <c r="Z282" s="334" t="str" cm="1">
        <f t="array" ref="Z282">IF($C282&lt;&gt;"bitte wählen",INDEX(ListeLebensmittelIFEU,Z$189+1,$P282),"")</f>
        <v/>
      </c>
      <c r="AA282" s="334" t="str" cm="1">
        <f t="array" ref="AA282">IF($C282&lt;&gt;"bitte wählen",INDEX(ListeLebensmittelIFEU,AA$189+1,$P282),"")</f>
        <v/>
      </c>
      <c r="AB282" s="334" t="str" cm="1">
        <f t="array" ref="AB282">IF($C282&lt;&gt;"bitte wählen",INDEX(ListeLebensmittelIFEU,AB$189+1,$P282),"")</f>
        <v/>
      </c>
      <c r="AC282" s="334" t="str" cm="1">
        <f t="array" ref="AC282">IF($C282&lt;&gt;"bitte wählen",INDEX(ListeLebensmittelIFEU,AC$189+1,$P282),"")</f>
        <v/>
      </c>
      <c r="AD282" s="334" t="str" cm="1">
        <f t="array" ref="AD282">IF($C282&lt;&gt;"bitte wählen",INDEX(ListeLebensmittelIFEU,AD$189+1,$P282),"")</f>
        <v/>
      </c>
      <c r="AE282" s="334" t="str" cm="1">
        <f t="array" ref="AE282">IF($C282&lt;&gt;"bitte wählen",INDEX(ListeLebensmittelIFEU,AE$189+1,$P282),"")</f>
        <v/>
      </c>
      <c r="AF282" s="334" t="str" cm="1">
        <f t="array" ref="AF282">IF($C282&lt;&gt;"bitte wählen",INDEX(ListeLebensmittelIFEU,AF$189+1,$P282),"")</f>
        <v/>
      </c>
      <c r="AG282" s="334" t="str" cm="1">
        <f t="array" ref="AG282">IF($C282&lt;&gt;"bitte wählen",INDEX(ListeLebensmittelIFEU,AG$189+1,$P282),"")</f>
        <v/>
      </c>
      <c r="AH282" s="334" t="str" cm="1">
        <f t="array" ref="AH282">IF($C282&lt;&gt;"bitte wählen",INDEX(ListeLebensmittelIFEU,AH$189+1,$P282),"")</f>
        <v/>
      </c>
      <c r="AI282" s="334" t="str" cm="1">
        <f t="array" ref="AI282">IF($C282&lt;&gt;"bitte wählen",INDEX(ListeLebensmittelIFEU,AI$189+1,$P282),"")</f>
        <v/>
      </c>
      <c r="AJ282" s="334" t="str" cm="1">
        <f t="array" ref="AJ282">IF($C282&lt;&gt;"bitte wählen",INDEX(ListeLebensmittelIFEU,AJ$189+1,$P282),"")</f>
        <v/>
      </c>
      <c r="AK282" s="334" t="str" cm="1">
        <f t="array" ref="AK282">IF($C282&lt;&gt;"bitte wählen",INDEX(ListeLebensmittelIFEU,AK$189+1,$P282),"")</f>
        <v/>
      </c>
      <c r="AL282" s="334" t="str" cm="1">
        <f t="array" ref="AL282">IF($C282&lt;&gt;"bitte wählen",INDEX(ListeLebensmittelIFEU,AL$189+1,$P282),"")</f>
        <v/>
      </c>
      <c r="AM282" s="334" t="str" cm="1">
        <f t="array" ref="AM282">IF($C282&lt;&gt;"bitte wählen",INDEX(ListeLebensmittelIFEU,AM$189+1,$P282),"")</f>
        <v/>
      </c>
      <c r="AN282" s="334" t="str" cm="1">
        <f t="array" ref="AN282">IF($C282&lt;&gt;"bitte wählen",INDEX(ListeLebensmittelIFEU,AN$189+1,$P282),"")</f>
        <v/>
      </c>
      <c r="AO282" s="334" t="str" cm="1">
        <f t="array" ref="AO282">IF($C282&lt;&gt;"bitte wählen",INDEX(ListeLebensmittelIFEU,AO$189+1,$P282),"")</f>
        <v/>
      </c>
      <c r="AP282" s="334" t="str" cm="1">
        <f t="array" ref="AP282">IF($C282&lt;&gt;"bitte wählen",INDEX(ListeLebensmittelIFEU,AP$189+1,$P282),"")</f>
        <v/>
      </c>
      <c r="AQ282" s="334" t="str" cm="1">
        <f t="array" ref="AQ282">IF($C282&lt;&gt;"bitte wählen",INDEX(ListeLebensmittelIFEU,AQ$189+1,$P282),"")</f>
        <v/>
      </c>
      <c r="AR282" s="334" t="str" cm="1">
        <f t="array" ref="AR282">IF($C282&lt;&gt;"bitte wählen",INDEX(ListeLebensmittelIFEU,AR$189+1,$P282),"")</f>
        <v/>
      </c>
      <c r="AS282" s="334" t="str" cm="1">
        <f t="array" ref="AS282">IF($C282&lt;&gt;"bitte wählen",INDEX(ListeLebensmittelIFEU,AS$189+1,$P282),"")</f>
        <v/>
      </c>
      <c r="AT282" s="334" t="str" cm="1">
        <f t="array" ref="AT282">IF($C282&lt;&gt;"bitte wählen",INDEX(ListeLebensmittelIFEU,AT$189+1,$P282),"")</f>
        <v/>
      </c>
      <c r="AU282" s="334" t="str" cm="1">
        <f t="array" ref="AU282">IF($C282&lt;&gt;"bitte wählen",INDEX(ListeLebensmittelIFEU,AU$189+1,$P282),"")</f>
        <v/>
      </c>
      <c r="AV282" s="334" t="str" cm="1">
        <f t="array" ref="AV282">IF($C282&lt;&gt;"bitte wählen",INDEX(ListeLebensmittelIFEU,AV$189+1,$P282),"")</f>
        <v/>
      </c>
      <c r="AW282" s="334" t="str" cm="1">
        <f t="array" ref="AW282">IF($C282&lt;&gt;"bitte wählen",INDEX(ListeLebensmittelIFEU,AW$189+1,$P282),"")</f>
        <v/>
      </c>
      <c r="AX282" s="334" t="str" cm="1">
        <f t="array" ref="AX282">IF($C282&lt;&gt;"bitte wählen",INDEX(ListeLebensmittelIFEU,AX$189+1,$P282),"")</f>
        <v/>
      </c>
      <c r="AY282" s="334" t="str" cm="1">
        <f t="array" ref="AY282">IF($C282&lt;&gt;"bitte wählen",INDEX(ListeLebensmittelIFEU,AY$189+1,$P282),"")</f>
        <v/>
      </c>
      <c r="AZ282" s="335" t="str" cm="1">
        <f t="array" ref="AZ282">IF($C282&lt;&gt;"bitte wählen",INDEX(ListeLebensmittelIFEU,AZ$189+1,$P282),"")</f>
        <v/>
      </c>
    </row>
    <row r="283" spans="1:52" x14ac:dyDescent="0.3">
      <c r="B283" t="s">
        <v>328</v>
      </c>
      <c r="C283" s="471" t="s">
        <v>27</v>
      </c>
      <c r="D283" s="472"/>
      <c r="E283" s="349"/>
      <c r="F283" s="473" t="s">
        <v>12</v>
      </c>
      <c r="G283" s="350" t="str">
        <f t="shared" si="50"/>
        <v/>
      </c>
      <c r="H283" s="293" t="str">
        <f t="shared" si="51"/>
        <v/>
      </c>
      <c r="P283" s="333">
        <f t="shared" si="52"/>
        <v>22</v>
      </c>
      <c r="Q283" s="334" t="e">
        <f t="shared" si="55"/>
        <v>#N/A</v>
      </c>
      <c r="R283" s="359">
        <f t="shared" si="53"/>
        <v>0</v>
      </c>
      <c r="S283" s="380">
        <f t="shared" si="54"/>
        <v>0</v>
      </c>
      <c r="T283" s="333" t="str" cm="1">
        <f t="array" ref="T283">IF($C283&lt;&gt;"bitte wählen",INDEX(ListeLebensmittelIFEU,T$189+1,$P283),"")</f>
        <v/>
      </c>
      <c r="U283" s="334" t="str" cm="1">
        <f t="array" ref="U283">IF($C283&lt;&gt;"bitte wählen",INDEX(ListeLebensmittelIFEU,U$189+1,$P283),"")</f>
        <v/>
      </c>
      <c r="V283" s="334" t="str" cm="1">
        <f t="array" ref="V283">IF($C283&lt;&gt;"bitte wählen",INDEX(ListeLebensmittelIFEU,V$189+1,$P283),"")</f>
        <v/>
      </c>
      <c r="W283" s="334" t="str" cm="1">
        <f t="array" ref="W283">IF($C283&lt;&gt;"bitte wählen",INDEX(ListeLebensmittelIFEU,W$189+1,$P283),"")</f>
        <v/>
      </c>
      <c r="X283" s="334" t="str" cm="1">
        <f t="array" ref="X283">IF($C283&lt;&gt;"bitte wählen",INDEX(ListeLebensmittelIFEU,X$189+1,$P283),"")</f>
        <v/>
      </c>
      <c r="Y283" s="334" t="str" cm="1">
        <f t="array" ref="Y283">IF($C283&lt;&gt;"bitte wählen",INDEX(ListeLebensmittelIFEU,Y$189+1,$P283),"")</f>
        <v/>
      </c>
      <c r="Z283" s="334" t="str" cm="1">
        <f t="array" ref="Z283">IF($C283&lt;&gt;"bitte wählen",INDEX(ListeLebensmittelIFEU,Z$189+1,$P283),"")</f>
        <v/>
      </c>
      <c r="AA283" s="334" t="str" cm="1">
        <f t="array" ref="AA283">IF($C283&lt;&gt;"bitte wählen",INDEX(ListeLebensmittelIFEU,AA$189+1,$P283),"")</f>
        <v/>
      </c>
      <c r="AB283" s="334" t="str" cm="1">
        <f t="array" ref="AB283">IF($C283&lt;&gt;"bitte wählen",INDEX(ListeLebensmittelIFEU,AB$189+1,$P283),"")</f>
        <v/>
      </c>
      <c r="AC283" s="334" t="str" cm="1">
        <f t="array" ref="AC283">IF($C283&lt;&gt;"bitte wählen",INDEX(ListeLebensmittelIFEU,AC$189+1,$P283),"")</f>
        <v/>
      </c>
      <c r="AD283" s="334" t="str" cm="1">
        <f t="array" ref="AD283">IF($C283&lt;&gt;"bitte wählen",INDEX(ListeLebensmittelIFEU,AD$189+1,$P283),"")</f>
        <v/>
      </c>
      <c r="AE283" s="334" t="str" cm="1">
        <f t="array" ref="AE283">IF($C283&lt;&gt;"bitte wählen",INDEX(ListeLebensmittelIFEU,AE$189+1,$P283),"")</f>
        <v/>
      </c>
      <c r="AF283" s="334" t="str" cm="1">
        <f t="array" ref="AF283">IF($C283&lt;&gt;"bitte wählen",INDEX(ListeLebensmittelIFEU,AF$189+1,$P283),"")</f>
        <v/>
      </c>
      <c r="AG283" s="334" t="str" cm="1">
        <f t="array" ref="AG283">IF($C283&lt;&gt;"bitte wählen",INDEX(ListeLebensmittelIFEU,AG$189+1,$P283),"")</f>
        <v/>
      </c>
      <c r="AH283" s="334" t="str" cm="1">
        <f t="array" ref="AH283">IF($C283&lt;&gt;"bitte wählen",INDEX(ListeLebensmittelIFEU,AH$189+1,$P283),"")</f>
        <v/>
      </c>
      <c r="AI283" s="334" t="str" cm="1">
        <f t="array" ref="AI283">IF($C283&lt;&gt;"bitte wählen",INDEX(ListeLebensmittelIFEU,AI$189+1,$P283),"")</f>
        <v/>
      </c>
      <c r="AJ283" s="334" t="str" cm="1">
        <f t="array" ref="AJ283">IF($C283&lt;&gt;"bitte wählen",INDEX(ListeLebensmittelIFEU,AJ$189+1,$P283),"")</f>
        <v/>
      </c>
      <c r="AK283" s="334" t="str" cm="1">
        <f t="array" ref="AK283">IF($C283&lt;&gt;"bitte wählen",INDEX(ListeLebensmittelIFEU,AK$189+1,$P283),"")</f>
        <v/>
      </c>
      <c r="AL283" s="334" t="str" cm="1">
        <f t="array" ref="AL283">IF($C283&lt;&gt;"bitte wählen",INDEX(ListeLebensmittelIFEU,AL$189+1,$P283),"")</f>
        <v/>
      </c>
      <c r="AM283" s="334" t="str" cm="1">
        <f t="array" ref="AM283">IF($C283&lt;&gt;"bitte wählen",INDEX(ListeLebensmittelIFEU,AM$189+1,$P283),"")</f>
        <v/>
      </c>
      <c r="AN283" s="334" t="str" cm="1">
        <f t="array" ref="AN283">IF($C283&lt;&gt;"bitte wählen",INDEX(ListeLebensmittelIFEU,AN$189+1,$P283),"")</f>
        <v/>
      </c>
      <c r="AO283" s="334" t="str" cm="1">
        <f t="array" ref="AO283">IF($C283&lt;&gt;"bitte wählen",INDEX(ListeLebensmittelIFEU,AO$189+1,$P283),"")</f>
        <v/>
      </c>
      <c r="AP283" s="334" t="str" cm="1">
        <f t="array" ref="AP283">IF($C283&lt;&gt;"bitte wählen",INDEX(ListeLebensmittelIFEU,AP$189+1,$P283),"")</f>
        <v/>
      </c>
      <c r="AQ283" s="334" t="str" cm="1">
        <f t="array" ref="AQ283">IF($C283&lt;&gt;"bitte wählen",INDEX(ListeLebensmittelIFEU,AQ$189+1,$P283),"")</f>
        <v/>
      </c>
      <c r="AR283" s="334" t="str" cm="1">
        <f t="array" ref="AR283">IF($C283&lt;&gt;"bitte wählen",INDEX(ListeLebensmittelIFEU,AR$189+1,$P283),"")</f>
        <v/>
      </c>
      <c r="AS283" s="334" t="str" cm="1">
        <f t="array" ref="AS283">IF($C283&lt;&gt;"bitte wählen",INDEX(ListeLebensmittelIFEU,AS$189+1,$P283),"")</f>
        <v/>
      </c>
      <c r="AT283" s="334" t="str" cm="1">
        <f t="array" ref="AT283">IF($C283&lt;&gt;"bitte wählen",INDEX(ListeLebensmittelIFEU,AT$189+1,$P283),"")</f>
        <v/>
      </c>
      <c r="AU283" s="334" t="str" cm="1">
        <f t="array" ref="AU283">IF($C283&lt;&gt;"bitte wählen",INDEX(ListeLebensmittelIFEU,AU$189+1,$P283),"")</f>
        <v/>
      </c>
      <c r="AV283" s="334" t="str" cm="1">
        <f t="array" ref="AV283">IF($C283&lt;&gt;"bitte wählen",INDEX(ListeLebensmittelIFEU,AV$189+1,$P283),"")</f>
        <v/>
      </c>
      <c r="AW283" s="334" t="str" cm="1">
        <f t="array" ref="AW283">IF($C283&lt;&gt;"bitte wählen",INDEX(ListeLebensmittelIFEU,AW$189+1,$P283),"")</f>
        <v/>
      </c>
      <c r="AX283" s="334" t="str" cm="1">
        <f t="array" ref="AX283">IF($C283&lt;&gt;"bitte wählen",INDEX(ListeLebensmittelIFEU,AX$189+1,$P283),"")</f>
        <v/>
      </c>
      <c r="AY283" s="334" t="str" cm="1">
        <f t="array" ref="AY283">IF($C283&lt;&gt;"bitte wählen",INDEX(ListeLebensmittelIFEU,AY$189+1,$P283),"")</f>
        <v/>
      </c>
      <c r="AZ283" s="335" t="str" cm="1">
        <f t="array" ref="AZ283">IF($C283&lt;&gt;"bitte wählen",INDEX(ListeLebensmittelIFEU,AZ$189+1,$P283),"")</f>
        <v/>
      </c>
    </row>
    <row r="284" spans="1:52" x14ac:dyDescent="0.3">
      <c r="B284" t="s">
        <v>329</v>
      </c>
      <c r="C284" s="471" t="s">
        <v>27</v>
      </c>
      <c r="D284" s="472"/>
      <c r="E284" s="349"/>
      <c r="F284" s="473" t="s">
        <v>12</v>
      </c>
      <c r="G284" s="350" t="str">
        <f t="shared" si="50"/>
        <v/>
      </c>
      <c r="H284" s="293" t="str">
        <f t="shared" si="51"/>
        <v/>
      </c>
      <c r="P284" s="333">
        <f t="shared" si="52"/>
        <v>22</v>
      </c>
      <c r="Q284" s="334" t="e">
        <f t="shared" si="55"/>
        <v>#N/A</v>
      </c>
      <c r="R284" s="359">
        <f t="shared" si="53"/>
        <v>0</v>
      </c>
      <c r="S284" s="380">
        <f t="shared" si="54"/>
        <v>0</v>
      </c>
      <c r="T284" s="333" t="str" cm="1">
        <f t="array" ref="T284">IF($C284&lt;&gt;"bitte wählen",INDEX(ListeLebensmittelIFEU,T$189+1,$P284),"")</f>
        <v/>
      </c>
      <c r="U284" s="334" t="str" cm="1">
        <f t="array" ref="U284">IF($C284&lt;&gt;"bitte wählen",INDEX(ListeLebensmittelIFEU,U$189+1,$P284),"")</f>
        <v/>
      </c>
      <c r="V284" s="334" t="str" cm="1">
        <f t="array" ref="V284">IF($C284&lt;&gt;"bitte wählen",INDEX(ListeLebensmittelIFEU,V$189+1,$P284),"")</f>
        <v/>
      </c>
      <c r="W284" s="334" t="str" cm="1">
        <f t="array" ref="W284">IF($C284&lt;&gt;"bitte wählen",INDEX(ListeLebensmittelIFEU,W$189+1,$P284),"")</f>
        <v/>
      </c>
      <c r="X284" s="334" t="str" cm="1">
        <f t="array" ref="X284">IF($C284&lt;&gt;"bitte wählen",INDEX(ListeLebensmittelIFEU,X$189+1,$P284),"")</f>
        <v/>
      </c>
      <c r="Y284" s="334" t="str" cm="1">
        <f t="array" ref="Y284">IF($C284&lt;&gt;"bitte wählen",INDEX(ListeLebensmittelIFEU,Y$189+1,$P284),"")</f>
        <v/>
      </c>
      <c r="Z284" s="334" t="str" cm="1">
        <f t="array" ref="Z284">IF($C284&lt;&gt;"bitte wählen",INDEX(ListeLebensmittelIFEU,Z$189+1,$P284),"")</f>
        <v/>
      </c>
      <c r="AA284" s="334" t="str" cm="1">
        <f t="array" ref="AA284">IF($C284&lt;&gt;"bitte wählen",INDEX(ListeLebensmittelIFEU,AA$189+1,$P284),"")</f>
        <v/>
      </c>
      <c r="AB284" s="334" t="str" cm="1">
        <f t="array" ref="AB284">IF($C284&lt;&gt;"bitte wählen",INDEX(ListeLebensmittelIFEU,AB$189+1,$P284),"")</f>
        <v/>
      </c>
      <c r="AC284" s="334" t="str" cm="1">
        <f t="array" ref="AC284">IF($C284&lt;&gt;"bitte wählen",INDEX(ListeLebensmittelIFEU,AC$189+1,$P284),"")</f>
        <v/>
      </c>
      <c r="AD284" s="334" t="str" cm="1">
        <f t="array" ref="AD284">IF($C284&lt;&gt;"bitte wählen",INDEX(ListeLebensmittelIFEU,AD$189+1,$P284),"")</f>
        <v/>
      </c>
      <c r="AE284" s="334" t="str" cm="1">
        <f t="array" ref="AE284">IF($C284&lt;&gt;"bitte wählen",INDEX(ListeLebensmittelIFEU,AE$189+1,$P284),"")</f>
        <v/>
      </c>
      <c r="AF284" s="334" t="str" cm="1">
        <f t="array" ref="AF284">IF($C284&lt;&gt;"bitte wählen",INDEX(ListeLebensmittelIFEU,AF$189+1,$P284),"")</f>
        <v/>
      </c>
      <c r="AG284" s="334" t="str" cm="1">
        <f t="array" ref="AG284">IF($C284&lt;&gt;"bitte wählen",INDEX(ListeLebensmittelIFEU,AG$189+1,$P284),"")</f>
        <v/>
      </c>
      <c r="AH284" s="334" t="str" cm="1">
        <f t="array" ref="AH284">IF($C284&lt;&gt;"bitte wählen",INDEX(ListeLebensmittelIFEU,AH$189+1,$P284),"")</f>
        <v/>
      </c>
      <c r="AI284" s="334" t="str" cm="1">
        <f t="array" ref="AI284">IF($C284&lt;&gt;"bitte wählen",INDEX(ListeLebensmittelIFEU,AI$189+1,$P284),"")</f>
        <v/>
      </c>
      <c r="AJ284" s="334" t="str" cm="1">
        <f t="array" ref="AJ284">IF($C284&lt;&gt;"bitte wählen",INDEX(ListeLebensmittelIFEU,AJ$189+1,$P284),"")</f>
        <v/>
      </c>
      <c r="AK284" s="334" t="str" cm="1">
        <f t="array" ref="AK284">IF($C284&lt;&gt;"bitte wählen",INDEX(ListeLebensmittelIFEU,AK$189+1,$P284),"")</f>
        <v/>
      </c>
      <c r="AL284" s="334" t="str" cm="1">
        <f t="array" ref="AL284">IF($C284&lt;&gt;"bitte wählen",INDEX(ListeLebensmittelIFEU,AL$189+1,$P284),"")</f>
        <v/>
      </c>
      <c r="AM284" s="334" t="str" cm="1">
        <f t="array" ref="AM284">IF($C284&lt;&gt;"bitte wählen",INDEX(ListeLebensmittelIFEU,AM$189+1,$P284),"")</f>
        <v/>
      </c>
      <c r="AN284" s="334" t="str" cm="1">
        <f t="array" ref="AN284">IF($C284&lt;&gt;"bitte wählen",INDEX(ListeLebensmittelIFEU,AN$189+1,$P284),"")</f>
        <v/>
      </c>
      <c r="AO284" s="334" t="str" cm="1">
        <f t="array" ref="AO284">IF($C284&lt;&gt;"bitte wählen",INDEX(ListeLebensmittelIFEU,AO$189+1,$P284),"")</f>
        <v/>
      </c>
      <c r="AP284" s="334" t="str" cm="1">
        <f t="array" ref="AP284">IF($C284&lt;&gt;"bitte wählen",INDEX(ListeLebensmittelIFEU,AP$189+1,$P284),"")</f>
        <v/>
      </c>
      <c r="AQ284" s="334" t="str" cm="1">
        <f t="array" ref="AQ284">IF($C284&lt;&gt;"bitte wählen",INDEX(ListeLebensmittelIFEU,AQ$189+1,$P284),"")</f>
        <v/>
      </c>
      <c r="AR284" s="334" t="str" cm="1">
        <f t="array" ref="AR284">IF($C284&lt;&gt;"bitte wählen",INDEX(ListeLebensmittelIFEU,AR$189+1,$P284),"")</f>
        <v/>
      </c>
      <c r="AS284" s="334" t="str" cm="1">
        <f t="array" ref="AS284">IF($C284&lt;&gt;"bitte wählen",INDEX(ListeLebensmittelIFEU,AS$189+1,$P284),"")</f>
        <v/>
      </c>
      <c r="AT284" s="334" t="str" cm="1">
        <f t="array" ref="AT284">IF($C284&lt;&gt;"bitte wählen",INDEX(ListeLebensmittelIFEU,AT$189+1,$P284),"")</f>
        <v/>
      </c>
      <c r="AU284" s="334" t="str" cm="1">
        <f t="array" ref="AU284">IF($C284&lt;&gt;"bitte wählen",INDEX(ListeLebensmittelIFEU,AU$189+1,$P284),"")</f>
        <v/>
      </c>
      <c r="AV284" s="334" t="str" cm="1">
        <f t="array" ref="AV284">IF($C284&lt;&gt;"bitte wählen",INDEX(ListeLebensmittelIFEU,AV$189+1,$P284),"")</f>
        <v/>
      </c>
      <c r="AW284" s="334" t="str" cm="1">
        <f t="array" ref="AW284">IF($C284&lt;&gt;"bitte wählen",INDEX(ListeLebensmittelIFEU,AW$189+1,$P284),"")</f>
        <v/>
      </c>
      <c r="AX284" s="334" t="str" cm="1">
        <f t="array" ref="AX284">IF($C284&lt;&gt;"bitte wählen",INDEX(ListeLebensmittelIFEU,AX$189+1,$P284),"")</f>
        <v/>
      </c>
      <c r="AY284" s="334" t="str" cm="1">
        <f t="array" ref="AY284">IF($C284&lt;&gt;"bitte wählen",INDEX(ListeLebensmittelIFEU,AY$189+1,$P284),"")</f>
        <v/>
      </c>
      <c r="AZ284" s="335" t="str" cm="1">
        <f t="array" ref="AZ284">IF($C284&lt;&gt;"bitte wählen",INDEX(ListeLebensmittelIFEU,AZ$189+1,$P284),"")</f>
        <v/>
      </c>
    </row>
    <row r="285" spans="1:52" x14ac:dyDescent="0.3">
      <c r="B285" t="s">
        <v>330</v>
      </c>
      <c r="C285" s="471" t="s">
        <v>27</v>
      </c>
      <c r="D285" s="472"/>
      <c r="E285" s="349"/>
      <c r="F285" s="473" t="s">
        <v>12</v>
      </c>
      <c r="G285" s="350" t="str">
        <f t="shared" si="50"/>
        <v/>
      </c>
      <c r="H285" s="293" t="str">
        <f t="shared" si="51"/>
        <v/>
      </c>
      <c r="P285" s="333">
        <f t="shared" si="52"/>
        <v>22</v>
      </c>
      <c r="Q285" s="334" t="e">
        <f t="shared" si="55"/>
        <v>#N/A</v>
      </c>
      <c r="R285" s="359">
        <f t="shared" si="53"/>
        <v>0</v>
      </c>
      <c r="S285" s="380">
        <f t="shared" si="54"/>
        <v>0</v>
      </c>
      <c r="T285" s="333" t="str" cm="1">
        <f t="array" ref="T285">IF($C285&lt;&gt;"bitte wählen",INDEX(ListeLebensmittelIFEU,T$189+1,$P285),"")</f>
        <v/>
      </c>
      <c r="U285" s="334" t="str" cm="1">
        <f t="array" ref="U285">IF($C285&lt;&gt;"bitte wählen",INDEX(ListeLebensmittelIFEU,U$189+1,$P285),"")</f>
        <v/>
      </c>
      <c r="V285" s="334" t="str" cm="1">
        <f t="array" ref="V285">IF($C285&lt;&gt;"bitte wählen",INDEX(ListeLebensmittelIFEU,V$189+1,$P285),"")</f>
        <v/>
      </c>
      <c r="W285" s="334" t="str" cm="1">
        <f t="array" ref="W285">IF($C285&lt;&gt;"bitte wählen",INDEX(ListeLebensmittelIFEU,W$189+1,$P285),"")</f>
        <v/>
      </c>
      <c r="X285" s="334" t="str" cm="1">
        <f t="array" ref="X285">IF($C285&lt;&gt;"bitte wählen",INDEX(ListeLebensmittelIFEU,X$189+1,$P285),"")</f>
        <v/>
      </c>
      <c r="Y285" s="334" t="str" cm="1">
        <f t="array" ref="Y285">IF($C285&lt;&gt;"bitte wählen",INDEX(ListeLebensmittelIFEU,Y$189+1,$P285),"")</f>
        <v/>
      </c>
      <c r="Z285" s="334" t="str" cm="1">
        <f t="array" ref="Z285">IF($C285&lt;&gt;"bitte wählen",INDEX(ListeLebensmittelIFEU,Z$189+1,$P285),"")</f>
        <v/>
      </c>
      <c r="AA285" s="334" t="str" cm="1">
        <f t="array" ref="AA285">IF($C285&lt;&gt;"bitte wählen",INDEX(ListeLebensmittelIFEU,AA$189+1,$P285),"")</f>
        <v/>
      </c>
      <c r="AB285" s="334" t="str" cm="1">
        <f t="array" ref="AB285">IF($C285&lt;&gt;"bitte wählen",INDEX(ListeLebensmittelIFEU,AB$189+1,$P285),"")</f>
        <v/>
      </c>
      <c r="AC285" s="334" t="str" cm="1">
        <f t="array" ref="AC285">IF($C285&lt;&gt;"bitte wählen",INDEX(ListeLebensmittelIFEU,AC$189+1,$P285),"")</f>
        <v/>
      </c>
      <c r="AD285" s="334" t="str" cm="1">
        <f t="array" ref="AD285">IF($C285&lt;&gt;"bitte wählen",INDEX(ListeLebensmittelIFEU,AD$189+1,$P285),"")</f>
        <v/>
      </c>
      <c r="AE285" s="334" t="str" cm="1">
        <f t="array" ref="AE285">IF($C285&lt;&gt;"bitte wählen",INDEX(ListeLebensmittelIFEU,AE$189+1,$P285),"")</f>
        <v/>
      </c>
      <c r="AF285" s="334" t="str" cm="1">
        <f t="array" ref="AF285">IF($C285&lt;&gt;"bitte wählen",INDEX(ListeLebensmittelIFEU,AF$189+1,$P285),"")</f>
        <v/>
      </c>
      <c r="AG285" s="334" t="str" cm="1">
        <f t="array" ref="AG285">IF($C285&lt;&gt;"bitte wählen",INDEX(ListeLebensmittelIFEU,AG$189+1,$P285),"")</f>
        <v/>
      </c>
      <c r="AH285" s="334" t="str" cm="1">
        <f t="array" ref="AH285">IF($C285&lt;&gt;"bitte wählen",INDEX(ListeLebensmittelIFEU,AH$189+1,$P285),"")</f>
        <v/>
      </c>
      <c r="AI285" s="334" t="str" cm="1">
        <f t="array" ref="AI285">IF($C285&lt;&gt;"bitte wählen",INDEX(ListeLebensmittelIFEU,AI$189+1,$P285),"")</f>
        <v/>
      </c>
      <c r="AJ285" s="334" t="str" cm="1">
        <f t="array" ref="AJ285">IF($C285&lt;&gt;"bitte wählen",INDEX(ListeLebensmittelIFEU,AJ$189+1,$P285),"")</f>
        <v/>
      </c>
      <c r="AK285" s="334" t="str" cm="1">
        <f t="array" ref="AK285">IF($C285&lt;&gt;"bitte wählen",INDEX(ListeLebensmittelIFEU,AK$189+1,$P285),"")</f>
        <v/>
      </c>
      <c r="AL285" s="334" t="str" cm="1">
        <f t="array" ref="AL285">IF($C285&lt;&gt;"bitte wählen",INDEX(ListeLebensmittelIFEU,AL$189+1,$P285),"")</f>
        <v/>
      </c>
      <c r="AM285" s="334" t="str" cm="1">
        <f t="array" ref="AM285">IF($C285&lt;&gt;"bitte wählen",INDEX(ListeLebensmittelIFEU,AM$189+1,$P285),"")</f>
        <v/>
      </c>
      <c r="AN285" s="334" t="str" cm="1">
        <f t="array" ref="AN285">IF($C285&lt;&gt;"bitte wählen",INDEX(ListeLebensmittelIFEU,AN$189+1,$P285),"")</f>
        <v/>
      </c>
      <c r="AO285" s="334" t="str" cm="1">
        <f t="array" ref="AO285">IF($C285&lt;&gt;"bitte wählen",INDEX(ListeLebensmittelIFEU,AO$189+1,$P285),"")</f>
        <v/>
      </c>
      <c r="AP285" s="334" t="str" cm="1">
        <f t="array" ref="AP285">IF($C285&lt;&gt;"bitte wählen",INDEX(ListeLebensmittelIFEU,AP$189+1,$P285),"")</f>
        <v/>
      </c>
      <c r="AQ285" s="334" t="str" cm="1">
        <f t="array" ref="AQ285">IF($C285&lt;&gt;"bitte wählen",INDEX(ListeLebensmittelIFEU,AQ$189+1,$P285),"")</f>
        <v/>
      </c>
      <c r="AR285" s="334" t="str" cm="1">
        <f t="array" ref="AR285">IF($C285&lt;&gt;"bitte wählen",INDEX(ListeLebensmittelIFEU,AR$189+1,$P285),"")</f>
        <v/>
      </c>
      <c r="AS285" s="334" t="str" cm="1">
        <f t="array" ref="AS285">IF($C285&lt;&gt;"bitte wählen",INDEX(ListeLebensmittelIFEU,AS$189+1,$P285),"")</f>
        <v/>
      </c>
      <c r="AT285" s="334" t="str" cm="1">
        <f t="array" ref="AT285">IF($C285&lt;&gt;"bitte wählen",INDEX(ListeLebensmittelIFEU,AT$189+1,$P285),"")</f>
        <v/>
      </c>
      <c r="AU285" s="334" t="str" cm="1">
        <f t="array" ref="AU285">IF($C285&lt;&gt;"bitte wählen",INDEX(ListeLebensmittelIFEU,AU$189+1,$P285),"")</f>
        <v/>
      </c>
      <c r="AV285" s="334" t="str" cm="1">
        <f t="array" ref="AV285">IF($C285&lt;&gt;"bitte wählen",INDEX(ListeLebensmittelIFEU,AV$189+1,$P285),"")</f>
        <v/>
      </c>
      <c r="AW285" s="334" t="str" cm="1">
        <f t="array" ref="AW285">IF($C285&lt;&gt;"bitte wählen",INDEX(ListeLebensmittelIFEU,AW$189+1,$P285),"")</f>
        <v/>
      </c>
      <c r="AX285" s="334" t="str" cm="1">
        <f t="array" ref="AX285">IF($C285&lt;&gt;"bitte wählen",INDEX(ListeLebensmittelIFEU,AX$189+1,$P285),"")</f>
        <v/>
      </c>
      <c r="AY285" s="334" t="str" cm="1">
        <f t="array" ref="AY285">IF($C285&lt;&gt;"bitte wählen",INDEX(ListeLebensmittelIFEU,AY$189+1,$P285),"")</f>
        <v/>
      </c>
      <c r="AZ285" s="335" t="str" cm="1">
        <f t="array" ref="AZ285">IF($C285&lt;&gt;"bitte wählen",INDEX(ListeLebensmittelIFEU,AZ$189+1,$P285),"")</f>
        <v/>
      </c>
    </row>
    <row r="286" spans="1:52" x14ac:dyDescent="0.3">
      <c r="B286" t="s">
        <v>398</v>
      </c>
      <c r="C286" s="471" t="s">
        <v>27</v>
      </c>
      <c r="D286" s="472"/>
      <c r="E286" s="349"/>
      <c r="F286" s="473" t="s">
        <v>12</v>
      </c>
      <c r="G286" s="350" t="str">
        <f t="shared" si="50"/>
        <v/>
      </c>
      <c r="H286" s="293" t="str">
        <f t="shared" si="51"/>
        <v/>
      </c>
      <c r="P286" s="336">
        <f t="shared" si="52"/>
        <v>22</v>
      </c>
      <c r="Q286" s="337" t="e">
        <f t="shared" si="55"/>
        <v>#N/A</v>
      </c>
      <c r="R286" s="360">
        <f t="shared" si="53"/>
        <v>0</v>
      </c>
      <c r="S286" s="381">
        <f t="shared" si="54"/>
        <v>0</v>
      </c>
      <c r="T286" s="336" t="str" cm="1">
        <f t="array" ref="T286">IF($C286&lt;&gt;"bitte wählen",INDEX(ListeLebensmittelIFEU,T$189+1,$P286),"")</f>
        <v/>
      </c>
      <c r="U286" s="337" t="str" cm="1">
        <f t="array" ref="U286">IF($C286&lt;&gt;"bitte wählen",INDEX(ListeLebensmittelIFEU,U$189+1,$P286),"")</f>
        <v/>
      </c>
      <c r="V286" s="337" t="str" cm="1">
        <f t="array" ref="V286">IF($C286&lt;&gt;"bitte wählen",INDEX(ListeLebensmittelIFEU,V$189+1,$P286),"")</f>
        <v/>
      </c>
      <c r="W286" s="337" t="str" cm="1">
        <f t="array" ref="W286">IF($C286&lt;&gt;"bitte wählen",INDEX(ListeLebensmittelIFEU,W$189+1,$P286),"")</f>
        <v/>
      </c>
      <c r="X286" s="337" t="str" cm="1">
        <f t="array" ref="X286">IF($C286&lt;&gt;"bitte wählen",INDEX(ListeLebensmittelIFEU,X$189+1,$P286),"")</f>
        <v/>
      </c>
      <c r="Y286" s="337" t="str" cm="1">
        <f t="array" ref="Y286">IF($C286&lt;&gt;"bitte wählen",INDEX(ListeLebensmittelIFEU,Y$189+1,$P286),"")</f>
        <v/>
      </c>
      <c r="Z286" s="337" t="str" cm="1">
        <f t="array" ref="Z286">IF($C286&lt;&gt;"bitte wählen",INDEX(ListeLebensmittelIFEU,Z$189+1,$P286),"")</f>
        <v/>
      </c>
      <c r="AA286" s="337" t="str" cm="1">
        <f t="array" ref="AA286">IF($C286&lt;&gt;"bitte wählen",INDEX(ListeLebensmittelIFEU,AA$189+1,$P286),"")</f>
        <v/>
      </c>
      <c r="AB286" s="337" t="str" cm="1">
        <f t="array" ref="AB286">IF($C286&lt;&gt;"bitte wählen",INDEX(ListeLebensmittelIFEU,AB$189+1,$P286),"")</f>
        <v/>
      </c>
      <c r="AC286" s="337" t="str" cm="1">
        <f t="array" ref="AC286">IF($C286&lt;&gt;"bitte wählen",INDEX(ListeLebensmittelIFEU,AC$189+1,$P286),"")</f>
        <v/>
      </c>
      <c r="AD286" s="337" t="str" cm="1">
        <f t="array" ref="AD286">IF($C286&lt;&gt;"bitte wählen",INDEX(ListeLebensmittelIFEU,AD$189+1,$P286),"")</f>
        <v/>
      </c>
      <c r="AE286" s="337" t="str" cm="1">
        <f t="array" ref="AE286">IF($C286&lt;&gt;"bitte wählen",INDEX(ListeLebensmittelIFEU,AE$189+1,$P286),"")</f>
        <v/>
      </c>
      <c r="AF286" s="337" t="str" cm="1">
        <f t="array" ref="AF286">IF($C286&lt;&gt;"bitte wählen",INDEX(ListeLebensmittelIFEU,AF$189+1,$P286),"")</f>
        <v/>
      </c>
      <c r="AG286" s="337" t="str" cm="1">
        <f t="array" ref="AG286">IF($C286&lt;&gt;"bitte wählen",INDEX(ListeLebensmittelIFEU,AG$189+1,$P286),"")</f>
        <v/>
      </c>
      <c r="AH286" s="337" t="str" cm="1">
        <f t="array" ref="AH286">IF($C286&lt;&gt;"bitte wählen",INDEX(ListeLebensmittelIFEU,AH$189+1,$P286),"")</f>
        <v/>
      </c>
      <c r="AI286" s="337" t="str" cm="1">
        <f t="array" ref="AI286">IF($C286&lt;&gt;"bitte wählen",INDEX(ListeLebensmittelIFEU,AI$189+1,$P286),"")</f>
        <v/>
      </c>
      <c r="AJ286" s="337" t="str" cm="1">
        <f t="array" ref="AJ286">IF($C286&lt;&gt;"bitte wählen",INDEX(ListeLebensmittelIFEU,AJ$189+1,$P286),"")</f>
        <v/>
      </c>
      <c r="AK286" s="337" t="str" cm="1">
        <f t="array" ref="AK286">IF($C286&lt;&gt;"bitte wählen",INDEX(ListeLebensmittelIFEU,AK$189+1,$P286),"")</f>
        <v/>
      </c>
      <c r="AL286" s="337" t="str" cm="1">
        <f t="array" ref="AL286">IF($C286&lt;&gt;"bitte wählen",INDEX(ListeLebensmittelIFEU,AL$189+1,$P286),"")</f>
        <v/>
      </c>
      <c r="AM286" s="337" t="str" cm="1">
        <f t="array" ref="AM286">IF($C286&lt;&gt;"bitte wählen",INDEX(ListeLebensmittelIFEU,AM$189+1,$P286),"")</f>
        <v/>
      </c>
      <c r="AN286" s="337" t="str" cm="1">
        <f t="array" ref="AN286">IF($C286&lt;&gt;"bitte wählen",INDEX(ListeLebensmittelIFEU,AN$189+1,$P286),"")</f>
        <v/>
      </c>
      <c r="AO286" s="337" t="str" cm="1">
        <f t="array" ref="AO286">IF($C286&lt;&gt;"bitte wählen",INDEX(ListeLebensmittelIFEU,AO$189+1,$P286),"")</f>
        <v/>
      </c>
      <c r="AP286" s="337" t="str" cm="1">
        <f t="array" ref="AP286">IF($C286&lt;&gt;"bitte wählen",INDEX(ListeLebensmittelIFEU,AP$189+1,$P286),"")</f>
        <v/>
      </c>
      <c r="AQ286" s="337" t="str" cm="1">
        <f t="array" ref="AQ286">IF($C286&lt;&gt;"bitte wählen",INDEX(ListeLebensmittelIFEU,AQ$189+1,$P286),"")</f>
        <v/>
      </c>
      <c r="AR286" s="337" t="str" cm="1">
        <f t="array" ref="AR286">IF($C286&lt;&gt;"bitte wählen",INDEX(ListeLebensmittelIFEU,AR$189+1,$P286),"")</f>
        <v/>
      </c>
      <c r="AS286" s="337" t="str" cm="1">
        <f t="array" ref="AS286">IF($C286&lt;&gt;"bitte wählen",INDEX(ListeLebensmittelIFEU,AS$189+1,$P286),"")</f>
        <v/>
      </c>
      <c r="AT286" s="337" t="str" cm="1">
        <f t="array" ref="AT286">IF($C286&lt;&gt;"bitte wählen",INDEX(ListeLebensmittelIFEU,AT$189+1,$P286),"")</f>
        <v/>
      </c>
      <c r="AU286" s="337" t="str" cm="1">
        <f t="array" ref="AU286">IF($C286&lt;&gt;"bitte wählen",INDEX(ListeLebensmittelIFEU,AU$189+1,$P286),"")</f>
        <v/>
      </c>
      <c r="AV286" s="337" t="str" cm="1">
        <f t="array" ref="AV286">IF($C286&lt;&gt;"bitte wählen",INDEX(ListeLebensmittelIFEU,AV$189+1,$P286),"")</f>
        <v/>
      </c>
      <c r="AW286" s="337" t="str" cm="1">
        <f t="array" ref="AW286">IF($C286&lt;&gt;"bitte wählen",INDEX(ListeLebensmittelIFEU,AW$189+1,$P286),"")</f>
        <v/>
      </c>
      <c r="AX286" s="337" t="str" cm="1">
        <f t="array" ref="AX286">IF($C286&lt;&gt;"bitte wählen",INDEX(ListeLebensmittelIFEU,AX$189+1,$P286),"")</f>
        <v/>
      </c>
      <c r="AY286" s="337" t="str" cm="1">
        <f t="array" ref="AY286">IF($C286&lt;&gt;"bitte wählen",INDEX(ListeLebensmittelIFEU,AY$189+1,$P286),"")</f>
        <v/>
      </c>
      <c r="AZ286" s="338" t="str" cm="1">
        <f t="array" ref="AZ286">IF($C286&lt;&gt;"bitte wählen",INDEX(ListeLebensmittelIFEU,AZ$189+1,$P286),"")</f>
        <v/>
      </c>
    </row>
    <row r="287" spans="1:52" x14ac:dyDescent="0.3">
      <c r="B287" s="105" t="str">
        <f>IF(R287,IF(E287/IF(D279="",1,D279)&lt;GewichtMittagessenMin,"Hinweis: Dies scheint eine relativ kleine Portion zu sein",IF(E287/IF(D279="",1,D279)&gt;GewichtMittagessenMax,"Hinweis: Dies scheint eine relativ große Portion zu sein","")),"")</f>
        <v/>
      </c>
      <c r="C287" s="78"/>
      <c r="D287" s="78"/>
      <c r="E287" s="355">
        <f>SUM(E281:E286)-SUMIF(C281:C286,"Getränke",E281:E286)</f>
        <v>0</v>
      </c>
      <c r="G287" s="15" t="s">
        <v>622</v>
      </c>
      <c r="H287" s="293">
        <f>SUM(H281:H286)</f>
        <v>0</v>
      </c>
      <c r="Q287" s="383" t="s">
        <v>1030</v>
      </c>
      <c r="R287" s="386" t="b">
        <f>IF(SUM(R281:R286)&gt;0,TRUE,FALSE)</f>
        <v>0</v>
      </c>
      <c r="S287" s="383">
        <f>SUM(S281:S286)</f>
        <v>0</v>
      </c>
      <c r="T287" s="383" t="s">
        <v>1029</v>
      </c>
      <c r="U287" s="383" t="str">
        <f>IF(R287,IF(S287&gt;9,10,IF(S287&gt;0,1,0)),"")</f>
        <v/>
      </c>
    </row>
    <row r="288" spans="1:52" x14ac:dyDescent="0.3">
      <c r="B288" s="385" t="str">
        <f>IF(U287=0,"🌱 vegan","")</f>
        <v/>
      </c>
      <c r="C288" s="105" t="str">
        <f>IF(U287=1,"Ⓥ vegetarisch","")</f>
        <v/>
      </c>
      <c r="D288" s="384" t="str">
        <f>IF(U287=10,"🥩 mit Fleisch/Fisch","")</f>
        <v/>
      </c>
      <c r="E288" s="78"/>
      <c r="G288" s="15" t="s">
        <v>623</v>
      </c>
      <c r="H288" s="294">
        <f>IF(D279="",H287,H287/D279)</f>
        <v>0</v>
      </c>
    </row>
    <row r="289" spans="1:52" x14ac:dyDescent="0.3">
      <c r="T289" s="84"/>
    </row>
    <row r="290" spans="1:52" ht="18" thickBot="1" x14ac:dyDescent="0.4">
      <c r="B290" s="496" t="str">
        <f>"CO₂-Bilanz Gericht 9: "&amp;D291</f>
        <v>CO₂-Bilanz Gericht 9: Menü 9</v>
      </c>
      <c r="C290" s="496"/>
      <c r="D290" s="496"/>
      <c r="E290" s="496"/>
      <c r="T290" s="84"/>
    </row>
    <row r="291" spans="1:52" ht="15" thickTop="1" x14ac:dyDescent="0.3">
      <c r="B291" t="s">
        <v>994</v>
      </c>
      <c r="D291" s="288" t="s">
        <v>1001</v>
      </c>
      <c r="F291" s="78"/>
      <c r="G291" s="78"/>
      <c r="H291" s="78"/>
      <c r="I291" s="78"/>
    </row>
    <row r="292" spans="1:52" x14ac:dyDescent="0.3">
      <c r="B292" t="s">
        <v>995</v>
      </c>
      <c r="C292" s="78"/>
      <c r="D292" s="291">
        <v>1</v>
      </c>
      <c r="E292" s="301" t="str">
        <f>IF(ISNUMBER(FIND("g",_xlfn.CONCAT(E294:E299))),"Bitte Menge als reine Zahl ohne Zusatz g eingeben","")</f>
        <v/>
      </c>
      <c r="G292" s="78"/>
      <c r="H292" s="78"/>
      <c r="T292" s="329" t="s">
        <v>918</v>
      </c>
      <c r="U292" s="330"/>
      <c r="V292" s="330"/>
      <c r="W292" s="330"/>
      <c r="X292" s="330"/>
      <c r="Y292" s="330"/>
    </row>
    <row r="293" spans="1:52" ht="44.4" x14ac:dyDescent="0.35">
      <c r="A293" s="376" t="s">
        <v>1217</v>
      </c>
      <c r="C293" s="297" t="s">
        <v>993</v>
      </c>
      <c r="D293" s="313" t="s">
        <v>992</v>
      </c>
      <c r="E293" s="298" t="s">
        <v>323</v>
      </c>
      <c r="F293" s="298" t="s">
        <v>324</v>
      </c>
      <c r="G293" s="296" t="s">
        <v>534</v>
      </c>
      <c r="H293" s="296" t="s">
        <v>535</v>
      </c>
      <c r="P293" s="356" t="s">
        <v>956</v>
      </c>
      <c r="Q293" s="356" t="s">
        <v>957</v>
      </c>
      <c r="R293" s="357" t="s">
        <v>958</v>
      </c>
      <c r="S293" s="357" t="s">
        <v>1028</v>
      </c>
      <c r="T293" s="361">
        <v>1</v>
      </c>
      <c r="U293" s="362">
        <v>2</v>
      </c>
      <c r="V293" s="362">
        <v>3</v>
      </c>
      <c r="W293" s="362">
        <v>4</v>
      </c>
      <c r="X293" s="362">
        <v>5</v>
      </c>
      <c r="Y293" s="362">
        <v>6</v>
      </c>
      <c r="Z293" s="362">
        <v>7</v>
      </c>
      <c r="AA293" s="362">
        <v>8</v>
      </c>
      <c r="AB293" s="362">
        <v>9</v>
      </c>
      <c r="AC293" s="362">
        <v>10</v>
      </c>
      <c r="AD293" s="362">
        <v>11</v>
      </c>
      <c r="AE293" s="362">
        <v>12</v>
      </c>
      <c r="AF293" s="362">
        <v>13</v>
      </c>
      <c r="AG293" s="362">
        <v>14</v>
      </c>
      <c r="AH293" s="362">
        <v>15</v>
      </c>
      <c r="AI293" s="362">
        <v>16</v>
      </c>
      <c r="AJ293" s="362">
        <v>17</v>
      </c>
      <c r="AK293" s="362">
        <v>18</v>
      </c>
      <c r="AL293" s="362">
        <v>19</v>
      </c>
      <c r="AM293" s="362">
        <v>20</v>
      </c>
      <c r="AN293" s="362">
        <v>21</v>
      </c>
      <c r="AO293" s="362">
        <v>22</v>
      </c>
      <c r="AP293" s="362">
        <v>23</v>
      </c>
      <c r="AQ293" s="362">
        <v>24</v>
      </c>
      <c r="AR293" s="362">
        <v>25</v>
      </c>
      <c r="AS293" s="362">
        <v>26</v>
      </c>
      <c r="AT293" s="362">
        <v>27</v>
      </c>
      <c r="AU293" s="362">
        <v>28</v>
      </c>
      <c r="AV293" s="362">
        <v>29</v>
      </c>
      <c r="AW293" s="362">
        <v>30</v>
      </c>
      <c r="AX293" s="362">
        <v>31</v>
      </c>
      <c r="AY293" s="362">
        <v>32</v>
      </c>
      <c r="AZ293" s="363">
        <v>33</v>
      </c>
    </row>
    <row r="294" spans="1:52" x14ac:dyDescent="0.3">
      <c r="B294" t="s">
        <v>13</v>
      </c>
      <c r="C294" s="471" t="s">
        <v>27</v>
      </c>
      <c r="D294" s="472"/>
      <c r="E294" s="470"/>
      <c r="F294" s="473" t="s">
        <v>12</v>
      </c>
      <c r="G294" s="350" t="str">
        <f t="shared" ref="G294:G299" si="56">IF(D294="","",R294*IF(F294="Ja",FaktorBeiLokalemProdukt,1))</f>
        <v/>
      </c>
      <c r="H294" s="293" t="str">
        <f t="shared" ref="H294:H299" si="57">IF(D294="","",E294*G294)</f>
        <v/>
      </c>
      <c r="P294" s="331">
        <f t="shared" ref="P294:P299" si="58">VLOOKUP(C294,$C$457:$D$464,2,FALSE)</f>
        <v>22</v>
      </c>
      <c r="Q294" s="332" t="e">
        <f>MATCH(D294,T294:AZ294,0)</f>
        <v>#N/A</v>
      </c>
      <c r="R294" s="358">
        <f t="shared" ref="R294:R299" si="59">_xlfn.IFNA(IF(D294&lt;&gt;"",VLOOKUP(D294,$C$544:$E$774,2,FALSE),0),0)</f>
        <v>0</v>
      </c>
      <c r="S294" s="358">
        <f t="shared" ref="S294:S299" si="60">_xlfn.IFNA(IF(D294&lt;&gt;"",VLOOKUP(D294,$C$544:$E$774,3,FALSE),0),0)</f>
        <v>0</v>
      </c>
      <c r="T294" s="333" t="str" cm="1">
        <f t="array" ref="T294">IF($C294&lt;&gt;"bitte wählen",INDEX(ListeLebensmittelIFEU,T$189+1,$P294),"")</f>
        <v/>
      </c>
      <c r="U294" s="334" t="str" cm="1">
        <f t="array" ref="U294">IF($C294&lt;&gt;"bitte wählen",INDEX(ListeLebensmittelIFEU,U$189+1,$P294),"")</f>
        <v/>
      </c>
      <c r="V294" s="334" t="str" cm="1">
        <f t="array" ref="V294">IF($C294&lt;&gt;"bitte wählen",INDEX(ListeLebensmittelIFEU,V$189+1,$P294),"")</f>
        <v/>
      </c>
      <c r="W294" s="334" t="str" cm="1">
        <f t="array" ref="W294">IF($C294&lt;&gt;"bitte wählen",INDEX(ListeLebensmittelIFEU,W$189+1,$P294),"")</f>
        <v/>
      </c>
      <c r="X294" s="334" t="str" cm="1">
        <f t="array" ref="X294">IF($C294&lt;&gt;"bitte wählen",INDEX(ListeLebensmittelIFEU,X$189+1,$P294),"")</f>
        <v/>
      </c>
      <c r="Y294" s="334" t="str" cm="1">
        <f t="array" ref="Y294">IF($C294&lt;&gt;"bitte wählen",INDEX(ListeLebensmittelIFEU,Y$189+1,$P294),"")</f>
        <v/>
      </c>
      <c r="Z294" s="334" t="str" cm="1">
        <f t="array" ref="Z294">IF($C294&lt;&gt;"bitte wählen",INDEX(ListeLebensmittelIFEU,Z$189+1,$P294),"")</f>
        <v/>
      </c>
      <c r="AA294" s="334" t="str" cm="1">
        <f t="array" ref="AA294">IF($C294&lt;&gt;"bitte wählen",INDEX(ListeLebensmittelIFEU,AA$189+1,$P294),"")</f>
        <v/>
      </c>
      <c r="AB294" s="334" t="str" cm="1">
        <f t="array" ref="AB294">IF($C294&lt;&gt;"bitte wählen",INDEX(ListeLebensmittelIFEU,AB$189+1,$P294),"")</f>
        <v/>
      </c>
      <c r="AC294" s="334" t="str" cm="1">
        <f t="array" ref="AC294">IF($C294&lt;&gt;"bitte wählen",INDEX(ListeLebensmittelIFEU,AC$189+1,$P294),"")</f>
        <v/>
      </c>
      <c r="AD294" s="334" t="str" cm="1">
        <f t="array" ref="AD294">IF($C294&lt;&gt;"bitte wählen",INDEX(ListeLebensmittelIFEU,AD$189+1,$P294),"")</f>
        <v/>
      </c>
      <c r="AE294" s="334" t="str" cm="1">
        <f t="array" ref="AE294">IF($C294&lt;&gt;"bitte wählen",INDEX(ListeLebensmittelIFEU,AE$189+1,$P294),"")</f>
        <v/>
      </c>
      <c r="AF294" s="334" t="str" cm="1">
        <f t="array" ref="AF294">IF($C294&lt;&gt;"bitte wählen",INDEX(ListeLebensmittelIFEU,AF$189+1,$P294),"")</f>
        <v/>
      </c>
      <c r="AG294" s="334" t="str" cm="1">
        <f t="array" ref="AG294">IF($C294&lt;&gt;"bitte wählen",INDEX(ListeLebensmittelIFEU,AG$189+1,$P294),"")</f>
        <v/>
      </c>
      <c r="AH294" s="334" t="str" cm="1">
        <f t="array" ref="AH294">IF($C294&lt;&gt;"bitte wählen",INDEX(ListeLebensmittelIFEU,AH$189+1,$P294),"")</f>
        <v/>
      </c>
      <c r="AI294" s="334" t="str" cm="1">
        <f t="array" ref="AI294">IF($C294&lt;&gt;"bitte wählen",INDEX(ListeLebensmittelIFEU,AI$189+1,$P294),"")</f>
        <v/>
      </c>
      <c r="AJ294" s="334" t="str" cm="1">
        <f t="array" ref="AJ294">IF($C294&lt;&gt;"bitte wählen",INDEX(ListeLebensmittelIFEU,AJ$189+1,$P294),"")</f>
        <v/>
      </c>
      <c r="AK294" s="334" t="str" cm="1">
        <f t="array" ref="AK294">IF($C294&lt;&gt;"bitte wählen",INDEX(ListeLebensmittelIFEU,AK$189+1,$P294),"")</f>
        <v/>
      </c>
      <c r="AL294" s="334" t="str" cm="1">
        <f t="array" ref="AL294">IF($C294&lt;&gt;"bitte wählen",INDEX(ListeLebensmittelIFEU,AL$189+1,$P294),"")</f>
        <v/>
      </c>
      <c r="AM294" s="334" t="str" cm="1">
        <f t="array" ref="AM294">IF($C294&lt;&gt;"bitte wählen",INDEX(ListeLebensmittelIFEU,AM$189+1,$P294),"")</f>
        <v/>
      </c>
      <c r="AN294" s="334" t="str" cm="1">
        <f t="array" ref="AN294">IF($C294&lt;&gt;"bitte wählen",INDEX(ListeLebensmittelIFEU,AN$189+1,$P294),"")</f>
        <v/>
      </c>
      <c r="AO294" s="334" t="str" cm="1">
        <f t="array" ref="AO294">IF($C294&lt;&gt;"bitte wählen",INDEX(ListeLebensmittelIFEU,AO$189+1,$P294),"")</f>
        <v/>
      </c>
      <c r="AP294" s="334" t="str" cm="1">
        <f t="array" ref="AP294">IF($C294&lt;&gt;"bitte wählen",INDEX(ListeLebensmittelIFEU,AP$189+1,$P294),"")</f>
        <v/>
      </c>
      <c r="AQ294" s="334" t="str" cm="1">
        <f t="array" ref="AQ294">IF($C294&lt;&gt;"bitte wählen",INDEX(ListeLebensmittelIFEU,AQ$189+1,$P294),"")</f>
        <v/>
      </c>
      <c r="AR294" s="334" t="str" cm="1">
        <f t="array" ref="AR294">IF($C294&lt;&gt;"bitte wählen",INDEX(ListeLebensmittelIFEU,AR$189+1,$P294),"")</f>
        <v/>
      </c>
      <c r="AS294" s="334" t="str" cm="1">
        <f t="array" ref="AS294">IF($C294&lt;&gt;"bitte wählen",INDEX(ListeLebensmittelIFEU,AS$189+1,$P294),"")</f>
        <v/>
      </c>
      <c r="AT294" s="334" t="str" cm="1">
        <f t="array" ref="AT294">IF($C294&lt;&gt;"bitte wählen",INDEX(ListeLebensmittelIFEU,AT$189+1,$P294),"")</f>
        <v/>
      </c>
      <c r="AU294" s="334" t="str" cm="1">
        <f t="array" ref="AU294">IF($C294&lt;&gt;"bitte wählen",INDEX(ListeLebensmittelIFEU,AU$189+1,$P294),"")</f>
        <v/>
      </c>
      <c r="AV294" s="334" t="str" cm="1">
        <f t="array" ref="AV294">IF($C294&lt;&gt;"bitte wählen",INDEX(ListeLebensmittelIFEU,AV$189+1,$P294),"")</f>
        <v/>
      </c>
      <c r="AW294" s="334" t="str" cm="1">
        <f t="array" ref="AW294">IF($C294&lt;&gt;"bitte wählen",INDEX(ListeLebensmittelIFEU,AW$189+1,$P294),"")</f>
        <v/>
      </c>
      <c r="AX294" s="334" t="str" cm="1">
        <f t="array" ref="AX294">IF($C294&lt;&gt;"bitte wählen",INDEX(ListeLebensmittelIFEU,AX$189+1,$P294),"")</f>
        <v/>
      </c>
      <c r="AY294" s="334" t="str" cm="1">
        <f t="array" ref="AY294">IF($C294&lt;&gt;"bitte wählen",INDEX(ListeLebensmittelIFEU,AY$189+1,$P294),"")</f>
        <v/>
      </c>
      <c r="AZ294" s="335" t="str" cm="1">
        <f t="array" ref="AZ294">IF($C294&lt;&gt;"bitte wählen",INDEX(ListeLebensmittelIFEU,AZ$189+1,$P294),"")</f>
        <v/>
      </c>
    </row>
    <row r="295" spans="1:52" x14ac:dyDescent="0.3">
      <c r="B295" t="s">
        <v>327</v>
      </c>
      <c r="C295" s="471" t="s">
        <v>27</v>
      </c>
      <c r="D295" s="472"/>
      <c r="E295" s="349"/>
      <c r="F295" s="473" t="s">
        <v>12</v>
      </c>
      <c r="G295" s="350" t="str">
        <f t="shared" si="56"/>
        <v/>
      </c>
      <c r="H295" s="293" t="str">
        <f t="shared" si="57"/>
        <v/>
      </c>
      <c r="P295" s="333">
        <f t="shared" si="58"/>
        <v>22</v>
      </c>
      <c r="Q295" s="334" t="e">
        <f t="shared" ref="Q295:Q299" si="61">MATCH(D295,T295:AZ295,0)</f>
        <v>#N/A</v>
      </c>
      <c r="R295" s="359">
        <f t="shared" si="59"/>
        <v>0</v>
      </c>
      <c r="S295" s="380">
        <f t="shared" si="60"/>
        <v>0</v>
      </c>
      <c r="T295" s="333" t="str" cm="1">
        <f t="array" ref="T295">IF($C295&lt;&gt;"bitte wählen",INDEX(ListeLebensmittelIFEU,T$189+1,$P295),"")</f>
        <v/>
      </c>
      <c r="U295" s="334" t="str" cm="1">
        <f t="array" ref="U295">IF($C295&lt;&gt;"bitte wählen",INDEX(ListeLebensmittelIFEU,U$189+1,$P295),"")</f>
        <v/>
      </c>
      <c r="V295" s="334" t="str" cm="1">
        <f t="array" ref="V295">IF($C295&lt;&gt;"bitte wählen",INDEX(ListeLebensmittelIFEU,V$189+1,$P295),"")</f>
        <v/>
      </c>
      <c r="W295" s="334" t="str" cm="1">
        <f t="array" ref="W295">IF($C295&lt;&gt;"bitte wählen",INDEX(ListeLebensmittelIFEU,W$189+1,$P295),"")</f>
        <v/>
      </c>
      <c r="X295" s="334" t="str" cm="1">
        <f t="array" ref="X295">IF($C295&lt;&gt;"bitte wählen",INDEX(ListeLebensmittelIFEU,X$189+1,$P295),"")</f>
        <v/>
      </c>
      <c r="Y295" s="334" t="str" cm="1">
        <f t="array" ref="Y295">IF($C295&lt;&gt;"bitte wählen",INDEX(ListeLebensmittelIFEU,Y$189+1,$P295),"")</f>
        <v/>
      </c>
      <c r="Z295" s="334" t="str" cm="1">
        <f t="array" ref="Z295">IF($C295&lt;&gt;"bitte wählen",INDEX(ListeLebensmittelIFEU,Z$189+1,$P295),"")</f>
        <v/>
      </c>
      <c r="AA295" s="334" t="str" cm="1">
        <f t="array" ref="AA295">IF($C295&lt;&gt;"bitte wählen",INDEX(ListeLebensmittelIFEU,AA$189+1,$P295),"")</f>
        <v/>
      </c>
      <c r="AB295" s="334" t="str" cm="1">
        <f t="array" ref="AB295">IF($C295&lt;&gt;"bitte wählen",INDEX(ListeLebensmittelIFEU,AB$189+1,$P295),"")</f>
        <v/>
      </c>
      <c r="AC295" s="334" t="str" cm="1">
        <f t="array" ref="AC295">IF($C295&lt;&gt;"bitte wählen",INDEX(ListeLebensmittelIFEU,AC$189+1,$P295),"")</f>
        <v/>
      </c>
      <c r="AD295" s="334" t="str" cm="1">
        <f t="array" ref="AD295">IF($C295&lt;&gt;"bitte wählen",INDEX(ListeLebensmittelIFEU,AD$189+1,$P295),"")</f>
        <v/>
      </c>
      <c r="AE295" s="334" t="str" cm="1">
        <f t="array" ref="AE295">IF($C295&lt;&gt;"bitte wählen",INDEX(ListeLebensmittelIFEU,AE$189+1,$P295),"")</f>
        <v/>
      </c>
      <c r="AF295" s="334" t="str" cm="1">
        <f t="array" ref="AF295">IF($C295&lt;&gt;"bitte wählen",INDEX(ListeLebensmittelIFEU,AF$189+1,$P295),"")</f>
        <v/>
      </c>
      <c r="AG295" s="334" t="str" cm="1">
        <f t="array" ref="AG295">IF($C295&lt;&gt;"bitte wählen",INDEX(ListeLebensmittelIFEU,AG$189+1,$P295),"")</f>
        <v/>
      </c>
      <c r="AH295" s="334" t="str" cm="1">
        <f t="array" ref="AH295">IF($C295&lt;&gt;"bitte wählen",INDEX(ListeLebensmittelIFEU,AH$189+1,$P295),"")</f>
        <v/>
      </c>
      <c r="AI295" s="334" t="str" cm="1">
        <f t="array" ref="AI295">IF($C295&lt;&gt;"bitte wählen",INDEX(ListeLebensmittelIFEU,AI$189+1,$P295),"")</f>
        <v/>
      </c>
      <c r="AJ295" s="334" t="str" cm="1">
        <f t="array" ref="AJ295">IF($C295&lt;&gt;"bitte wählen",INDEX(ListeLebensmittelIFEU,AJ$189+1,$P295),"")</f>
        <v/>
      </c>
      <c r="AK295" s="334" t="str" cm="1">
        <f t="array" ref="AK295">IF($C295&lt;&gt;"bitte wählen",INDEX(ListeLebensmittelIFEU,AK$189+1,$P295),"")</f>
        <v/>
      </c>
      <c r="AL295" s="334" t="str" cm="1">
        <f t="array" ref="AL295">IF($C295&lt;&gt;"bitte wählen",INDEX(ListeLebensmittelIFEU,AL$189+1,$P295),"")</f>
        <v/>
      </c>
      <c r="AM295" s="334" t="str" cm="1">
        <f t="array" ref="AM295">IF($C295&lt;&gt;"bitte wählen",INDEX(ListeLebensmittelIFEU,AM$189+1,$P295),"")</f>
        <v/>
      </c>
      <c r="AN295" s="334" t="str" cm="1">
        <f t="array" ref="AN295">IF($C295&lt;&gt;"bitte wählen",INDEX(ListeLebensmittelIFEU,AN$189+1,$P295),"")</f>
        <v/>
      </c>
      <c r="AO295" s="334" t="str" cm="1">
        <f t="array" ref="AO295">IF($C295&lt;&gt;"bitte wählen",INDEX(ListeLebensmittelIFEU,AO$189+1,$P295),"")</f>
        <v/>
      </c>
      <c r="AP295" s="334" t="str" cm="1">
        <f t="array" ref="AP295">IF($C295&lt;&gt;"bitte wählen",INDEX(ListeLebensmittelIFEU,AP$189+1,$P295),"")</f>
        <v/>
      </c>
      <c r="AQ295" s="334" t="str" cm="1">
        <f t="array" ref="AQ295">IF($C295&lt;&gt;"bitte wählen",INDEX(ListeLebensmittelIFEU,AQ$189+1,$P295),"")</f>
        <v/>
      </c>
      <c r="AR295" s="334" t="str" cm="1">
        <f t="array" ref="AR295">IF($C295&lt;&gt;"bitte wählen",INDEX(ListeLebensmittelIFEU,AR$189+1,$P295),"")</f>
        <v/>
      </c>
      <c r="AS295" s="334" t="str" cm="1">
        <f t="array" ref="AS295">IF($C295&lt;&gt;"bitte wählen",INDEX(ListeLebensmittelIFEU,AS$189+1,$P295),"")</f>
        <v/>
      </c>
      <c r="AT295" s="334" t="str" cm="1">
        <f t="array" ref="AT295">IF($C295&lt;&gt;"bitte wählen",INDEX(ListeLebensmittelIFEU,AT$189+1,$P295),"")</f>
        <v/>
      </c>
      <c r="AU295" s="334" t="str" cm="1">
        <f t="array" ref="AU295">IF($C295&lt;&gt;"bitte wählen",INDEX(ListeLebensmittelIFEU,AU$189+1,$P295),"")</f>
        <v/>
      </c>
      <c r="AV295" s="334" t="str" cm="1">
        <f t="array" ref="AV295">IF($C295&lt;&gt;"bitte wählen",INDEX(ListeLebensmittelIFEU,AV$189+1,$P295),"")</f>
        <v/>
      </c>
      <c r="AW295" s="334" t="str" cm="1">
        <f t="array" ref="AW295">IF($C295&lt;&gt;"bitte wählen",INDEX(ListeLebensmittelIFEU,AW$189+1,$P295),"")</f>
        <v/>
      </c>
      <c r="AX295" s="334" t="str" cm="1">
        <f t="array" ref="AX295">IF($C295&lt;&gt;"bitte wählen",INDEX(ListeLebensmittelIFEU,AX$189+1,$P295),"")</f>
        <v/>
      </c>
      <c r="AY295" s="334" t="str" cm="1">
        <f t="array" ref="AY295">IF($C295&lt;&gt;"bitte wählen",INDEX(ListeLebensmittelIFEU,AY$189+1,$P295),"")</f>
        <v/>
      </c>
      <c r="AZ295" s="335" t="str" cm="1">
        <f t="array" ref="AZ295">IF($C295&lt;&gt;"bitte wählen",INDEX(ListeLebensmittelIFEU,AZ$189+1,$P295),"")</f>
        <v/>
      </c>
    </row>
    <row r="296" spans="1:52" x14ac:dyDescent="0.3">
      <c r="B296" t="s">
        <v>328</v>
      </c>
      <c r="C296" s="471" t="s">
        <v>27</v>
      </c>
      <c r="D296" s="472"/>
      <c r="E296" s="349"/>
      <c r="F296" s="473" t="s">
        <v>12</v>
      </c>
      <c r="G296" s="350" t="str">
        <f t="shared" si="56"/>
        <v/>
      </c>
      <c r="H296" s="293" t="str">
        <f t="shared" si="57"/>
        <v/>
      </c>
      <c r="P296" s="333">
        <f t="shared" si="58"/>
        <v>22</v>
      </c>
      <c r="Q296" s="334" t="e">
        <f t="shared" si="61"/>
        <v>#N/A</v>
      </c>
      <c r="R296" s="359">
        <f t="shared" si="59"/>
        <v>0</v>
      </c>
      <c r="S296" s="380">
        <f t="shared" si="60"/>
        <v>0</v>
      </c>
      <c r="T296" s="333" t="str" cm="1">
        <f t="array" ref="T296">IF($C296&lt;&gt;"bitte wählen",INDEX(ListeLebensmittelIFEU,T$189+1,$P296),"")</f>
        <v/>
      </c>
      <c r="U296" s="334" t="str" cm="1">
        <f t="array" ref="U296">IF($C296&lt;&gt;"bitte wählen",INDEX(ListeLebensmittelIFEU,U$189+1,$P296),"")</f>
        <v/>
      </c>
      <c r="V296" s="334" t="str" cm="1">
        <f t="array" ref="V296">IF($C296&lt;&gt;"bitte wählen",INDEX(ListeLebensmittelIFEU,V$189+1,$P296),"")</f>
        <v/>
      </c>
      <c r="W296" s="334" t="str" cm="1">
        <f t="array" ref="W296">IF($C296&lt;&gt;"bitte wählen",INDEX(ListeLebensmittelIFEU,W$189+1,$P296),"")</f>
        <v/>
      </c>
      <c r="X296" s="334" t="str" cm="1">
        <f t="array" ref="X296">IF($C296&lt;&gt;"bitte wählen",INDEX(ListeLebensmittelIFEU,X$189+1,$P296),"")</f>
        <v/>
      </c>
      <c r="Y296" s="334" t="str" cm="1">
        <f t="array" ref="Y296">IF($C296&lt;&gt;"bitte wählen",INDEX(ListeLebensmittelIFEU,Y$189+1,$P296),"")</f>
        <v/>
      </c>
      <c r="Z296" s="334" t="str" cm="1">
        <f t="array" ref="Z296">IF($C296&lt;&gt;"bitte wählen",INDEX(ListeLebensmittelIFEU,Z$189+1,$P296),"")</f>
        <v/>
      </c>
      <c r="AA296" s="334" t="str" cm="1">
        <f t="array" ref="AA296">IF($C296&lt;&gt;"bitte wählen",INDEX(ListeLebensmittelIFEU,AA$189+1,$P296),"")</f>
        <v/>
      </c>
      <c r="AB296" s="334" t="str" cm="1">
        <f t="array" ref="AB296">IF($C296&lt;&gt;"bitte wählen",INDEX(ListeLebensmittelIFEU,AB$189+1,$P296),"")</f>
        <v/>
      </c>
      <c r="AC296" s="334" t="str" cm="1">
        <f t="array" ref="AC296">IF($C296&lt;&gt;"bitte wählen",INDEX(ListeLebensmittelIFEU,AC$189+1,$P296),"")</f>
        <v/>
      </c>
      <c r="AD296" s="334" t="str" cm="1">
        <f t="array" ref="AD296">IF($C296&lt;&gt;"bitte wählen",INDEX(ListeLebensmittelIFEU,AD$189+1,$P296),"")</f>
        <v/>
      </c>
      <c r="AE296" s="334" t="str" cm="1">
        <f t="array" ref="AE296">IF($C296&lt;&gt;"bitte wählen",INDEX(ListeLebensmittelIFEU,AE$189+1,$P296),"")</f>
        <v/>
      </c>
      <c r="AF296" s="334" t="str" cm="1">
        <f t="array" ref="AF296">IF($C296&lt;&gt;"bitte wählen",INDEX(ListeLebensmittelIFEU,AF$189+1,$P296),"")</f>
        <v/>
      </c>
      <c r="AG296" s="334" t="str" cm="1">
        <f t="array" ref="AG296">IF($C296&lt;&gt;"bitte wählen",INDEX(ListeLebensmittelIFEU,AG$189+1,$P296),"")</f>
        <v/>
      </c>
      <c r="AH296" s="334" t="str" cm="1">
        <f t="array" ref="AH296">IF($C296&lt;&gt;"bitte wählen",INDEX(ListeLebensmittelIFEU,AH$189+1,$P296),"")</f>
        <v/>
      </c>
      <c r="AI296" s="334" t="str" cm="1">
        <f t="array" ref="AI296">IF($C296&lt;&gt;"bitte wählen",INDEX(ListeLebensmittelIFEU,AI$189+1,$P296),"")</f>
        <v/>
      </c>
      <c r="AJ296" s="334" t="str" cm="1">
        <f t="array" ref="AJ296">IF($C296&lt;&gt;"bitte wählen",INDEX(ListeLebensmittelIFEU,AJ$189+1,$P296),"")</f>
        <v/>
      </c>
      <c r="AK296" s="334" t="str" cm="1">
        <f t="array" ref="AK296">IF($C296&lt;&gt;"bitte wählen",INDEX(ListeLebensmittelIFEU,AK$189+1,$P296),"")</f>
        <v/>
      </c>
      <c r="AL296" s="334" t="str" cm="1">
        <f t="array" ref="AL296">IF($C296&lt;&gt;"bitte wählen",INDEX(ListeLebensmittelIFEU,AL$189+1,$P296),"")</f>
        <v/>
      </c>
      <c r="AM296" s="334" t="str" cm="1">
        <f t="array" ref="AM296">IF($C296&lt;&gt;"bitte wählen",INDEX(ListeLebensmittelIFEU,AM$189+1,$P296),"")</f>
        <v/>
      </c>
      <c r="AN296" s="334" t="str" cm="1">
        <f t="array" ref="AN296">IF($C296&lt;&gt;"bitte wählen",INDEX(ListeLebensmittelIFEU,AN$189+1,$P296),"")</f>
        <v/>
      </c>
      <c r="AO296" s="334" t="str" cm="1">
        <f t="array" ref="AO296">IF($C296&lt;&gt;"bitte wählen",INDEX(ListeLebensmittelIFEU,AO$189+1,$P296),"")</f>
        <v/>
      </c>
      <c r="AP296" s="334" t="str" cm="1">
        <f t="array" ref="AP296">IF($C296&lt;&gt;"bitte wählen",INDEX(ListeLebensmittelIFEU,AP$189+1,$P296),"")</f>
        <v/>
      </c>
      <c r="AQ296" s="334" t="str" cm="1">
        <f t="array" ref="AQ296">IF($C296&lt;&gt;"bitte wählen",INDEX(ListeLebensmittelIFEU,AQ$189+1,$P296),"")</f>
        <v/>
      </c>
      <c r="AR296" s="334" t="str" cm="1">
        <f t="array" ref="AR296">IF($C296&lt;&gt;"bitte wählen",INDEX(ListeLebensmittelIFEU,AR$189+1,$P296),"")</f>
        <v/>
      </c>
      <c r="AS296" s="334" t="str" cm="1">
        <f t="array" ref="AS296">IF($C296&lt;&gt;"bitte wählen",INDEX(ListeLebensmittelIFEU,AS$189+1,$P296),"")</f>
        <v/>
      </c>
      <c r="AT296" s="334" t="str" cm="1">
        <f t="array" ref="AT296">IF($C296&lt;&gt;"bitte wählen",INDEX(ListeLebensmittelIFEU,AT$189+1,$P296),"")</f>
        <v/>
      </c>
      <c r="AU296" s="334" t="str" cm="1">
        <f t="array" ref="AU296">IF($C296&lt;&gt;"bitte wählen",INDEX(ListeLebensmittelIFEU,AU$189+1,$P296),"")</f>
        <v/>
      </c>
      <c r="AV296" s="334" t="str" cm="1">
        <f t="array" ref="AV296">IF($C296&lt;&gt;"bitte wählen",INDEX(ListeLebensmittelIFEU,AV$189+1,$P296),"")</f>
        <v/>
      </c>
      <c r="AW296" s="334" t="str" cm="1">
        <f t="array" ref="AW296">IF($C296&lt;&gt;"bitte wählen",INDEX(ListeLebensmittelIFEU,AW$189+1,$P296),"")</f>
        <v/>
      </c>
      <c r="AX296" s="334" t="str" cm="1">
        <f t="array" ref="AX296">IF($C296&lt;&gt;"bitte wählen",INDEX(ListeLebensmittelIFEU,AX$189+1,$P296),"")</f>
        <v/>
      </c>
      <c r="AY296" s="334" t="str" cm="1">
        <f t="array" ref="AY296">IF($C296&lt;&gt;"bitte wählen",INDEX(ListeLebensmittelIFEU,AY$189+1,$P296),"")</f>
        <v/>
      </c>
      <c r="AZ296" s="335" t="str" cm="1">
        <f t="array" ref="AZ296">IF($C296&lt;&gt;"bitte wählen",INDEX(ListeLebensmittelIFEU,AZ$189+1,$P296),"")</f>
        <v/>
      </c>
    </row>
    <row r="297" spans="1:52" x14ac:dyDescent="0.3">
      <c r="B297" t="s">
        <v>329</v>
      </c>
      <c r="C297" s="471" t="s">
        <v>27</v>
      </c>
      <c r="D297" s="472"/>
      <c r="E297" s="349"/>
      <c r="F297" s="473" t="s">
        <v>12</v>
      </c>
      <c r="G297" s="350" t="str">
        <f t="shared" si="56"/>
        <v/>
      </c>
      <c r="H297" s="293" t="str">
        <f t="shared" si="57"/>
        <v/>
      </c>
      <c r="P297" s="333">
        <f t="shared" si="58"/>
        <v>22</v>
      </c>
      <c r="Q297" s="334" t="e">
        <f t="shared" si="61"/>
        <v>#N/A</v>
      </c>
      <c r="R297" s="359">
        <f t="shared" si="59"/>
        <v>0</v>
      </c>
      <c r="S297" s="380">
        <f t="shared" si="60"/>
        <v>0</v>
      </c>
      <c r="T297" s="333" t="str" cm="1">
        <f t="array" ref="T297">IF($C297&lt;&gt;"bitte wählen",INDEX(ListeLebensmittelIFEU,T$189+1,$P297),"")</f>
        <v/>
      </c>
      <c r="U297" s="334" t="str" cm="1">
        <f t="array" ref="U297">IF($C297&lt;&gt;"bitte wählen",INDEX(ListeLebensmittelIFEU,U$189+1,$P297),"")</f>
        <v/>
      </c>
      <c r="V297" s="334" t="str" cm="1">
        <f t="array" ref="V297">IF($C297&lt;&gt;"bitte wählen",INDEX(ListeLebensmittelIFEU,V$189+1,$P297),"")</f>
        <v/>
      </c>
      <c r="W297" s="334" t="str" cm="1">
        <f t="array" ref="W297">IF($C297&lt;&gt;"bitte wählen",INDEX(ListeLebensmittelIFEU,W$189+1,$P297),"")</f>
        <v/>
      </c>
      <c r="X297" s="334" t="str" cm="1">
        <f t="array" ref="X297">IF($C297&lt;&gt;"bitte wählen",INDEX(ListeLebensmittelIFEU,X$189+1,$P297),"")</f>
        <v/>
      </c>
      <c r="Y297" s="334" t="str" cm="1">
        <f t="array" ref="Y297">IF($C297&lt;&gt;"bitte wählen",INDEX(ListeLebensmittelIFEU,Y$189+1,$P297),"")</f>
        <v/>
      </c>
      <c r="Z297" s="334" t="str" cm="1">
        <f t="array" ref="Z297">IF($C297&lt;&gt;"bitte wählen",INDEX(ListeLebensmittelIFEU,Z$189+1,$P297),"")</f>
        <v/>
      </c>
      <c r="AA297" s="334" t="str" cm="1">
        <f t="array" ref="AA297">IF($C297&lt;&gt;"bitte wählen",INDEX(ListeLebensmittelIFEU,AA$189+1,$P297),"")</f>
        <v/>
      </c>
      <c r="AB297" s="334" t="str" cm="1">
        <f t="array" ref="AB297">IF($C297&lt;&gt;"bitte wählen",INDEX(ListeLebensmittelIFEU,AB$189+1,$P297),"")</f>
        <v/>
      </c>
      <c r="AC297" s="334" t="str" cm="1">
        <f t="array" ref="AC297">IF($C297&lt;&gt;"bitte wählen",INDEX(ListeLebensmittelIFEU,AC$189+1,$P297),"")</f>
        <v/>
      </c>
      <c r="AD297" s="334" t="str" cm="1">
        <f t="array" ref="AD297">IF($C297&lt;&gt;"bitte wählen",INDEX(ListeLebensmittelIFEU,AD$189+1,$P297),"")</f>
        <v/>
      </c>
      <c r="AE297" s="334" t="str" cm="1">
        <f t="array" ref="AE297">IF($C297&lt;&gt;"bitte wählen",INDEX(ListeLebensmittelIFEU,AE$189+1,$P297),"")</f>
        <v/>
      </c>
      <c r="AF297" s="334" t="str" cm="1">
        <f t="array" ref="AF297">IF($C297&lt;&gt;"bitte wählen",INDEX(ListeLebensmittelIFEU,AF$189+1,$P297),"")</f>
        <v/>
      </c>
      <c r="AG297" s="334" t="str" cm="1">
        <f t="array" ref="AG297">IF($C297&lt;&gt;"bitte wählen",INDEX(ListeLebensmittelIFEU,AG$189+1,$P297),"")</f>
        <v/>
      </c>
      <c r="AH297" s="334" t="str" cm="1">
        <f t="array" ref="AH297">IF($C297&lt;&gt;"bitte wählen",INDEX(ListeLebensmittelIFEU,AH$189+1,$P297),"")</f>
        <v/>
      </c>
      <c r="AI297" s="334" t="str" cm="1">
        <f t="array" ref="AI297">IF($C297&lt;&gt;"bitte wählen",INDEX(ListeLebensmittelIFEU,AI$189+1,$P297),"")</f>
        <v/>
      </c>
      <c r="AJ297" s="334" t="str" cm="1">
        <f t="array" ref="AJ297">IF($C297&lt;&gt;"bitte wählen",INDEX(ListeLebensmittelIFEU,AJ$189+1,$P297),"")</f>
        <v/>
      </c>
      <c r="AK297" s="334" t="str" cm="1">
        <f t="array" ref="AK297">IF($C297&lt;&gt;"bitte wählen",INDEX(ListeLebensmittelIFEU,AK$189+1,$P297),"")</f>
        <v/>
      </c>
      <c r="AL297" s="334" t="str" cm="1">
        <f t="array" ref="AL297">IF($C297&lt;&gt;"bitte wählen",INDEX(ListeLebensmittelIFEU,AL$189+1,$P297),"")</f>
        <v/>
      </c>
      <c r="AM297" s="334" t="str" cm="1">
        <f t="array" ref="AM297">IF($C297&lt;&gt;"bitte wählen",INDEX(ListeLebensmittelIFEU,AM$189+1,$P297),"")</f>
        <v/>
      </c>
      <c r="AN297" s="334" t="str" cm="1">
        <f t="array" ref="AN297">IF($C297&lt;&gt;"bitte wählen",INDEX(ListeLebensmittelIFEU,AN$189+1,$P297),"")</f>
        <v/>
      </c>
      <c r="AO297" s="334" t="str" cm="1">
        <f t="array" ref="AO297">IF($C297&lt;&gt;"bitte wählen",INDEX(ListeLebensmittelIFEU,AO$189+1,$P297),"")</f>
        <v/>
      </c>
      <c r="AP297" s="334" t="str" cm="1">
        <f t="array" ref="AP297">IF($C297&lt;&gt;"bitte wählen",INDEX(ListeLebensmittelIFEU,AP$189+1,$P297),"")</f>
        <v/>
      </c>
      <c r="AQ297" s="334" t="str" cm="1">
        <f t="array" ref="AQ297">IF($C297&lt;&gt;"bitte wählen",INDEX(ListeLebensmittelIFEU,AQ$189+1,$P297),"")</f>
        <v/>
      </c>
      <c r="AR297" s="334" t="str" cm="1">
        <f t="array" ref="AR297">IF($C297&lt;&gt;"bitte wählen",INDEX(ListeLebensmittelIFEU,AR$189+1,$P297),"")</f>
        <v/>
      </c>
      <c r="AS297" s="334" t="str" cm="1">
        <f t="array" ref="AS297">IF($C297&lt;&gt;"bitte wählen",INDEX(ListeLebensmittelIFEU,AS$189+1,$P297),"")</f>
        <v/>
      </c>
      <c r="AT297" s="334" t="str" cm="1">
        <f t="array" ref="AT297">IF($C297&lt;&gt;"bitte wählen",INDEX(ListeLebensmittelIFEU,AT$189+1,$P297),"")</f>
        <v/>
      </c>
      <c r="AU297" s="334" t="str" cm="1">
        <f t="array" ref="AU297">IF($C297&lt;&gt;"bitte wählen",INDEX(ListeLebensmittelIFEU,AU$189+1,$P297),"")</f>
        <v/>
      </c>
      <c r="AV297" s="334" t="str" cm="1">
        <f t="array" ref="AV297">IF($C297&lt;&gt;"bitte wählen",INDEX(ListeLebensmittelIFEU,AV$189+1,$P297),"")</f>
        <v/>
      </c>
      <c r="AW297" s="334" t="str" cm="1">
        <f t="array" ref="AW297">IF($C297&lt;&gt;"bitte wählen",INDEX(ListeLebensmittelIFEU,AW$189+1,$P297),"")</f>
        <v/>
      </c>
      <c r="AX297" s="334" t="str" cm="1">
        <f t="array" ref="AX297">IF($C297&lt;&gt;"bitte wählen",INDEX(ListeLebensmittelIFEU,AX$189+1,$P297),"")</f>
        <v/>
      </c>
      <c r="AY297" s="334" t="str" cm="1">
        <f t="array" ref="AY297">IF($C297&lt;&gt;"bitte wählen",INDEX(ListeLebensmittelIFEU,AY$189+1,$P297),"")</f>
        <v/>
      </c>
      <c r="AZ297" s="335" t="str" cm="1">
        <f t="array" ref="AZ297">IF($C297&lt;&gt;"bitte wählen",INDEX(ListeLebensmittelIFEU,AZ$189+1,$P297),"")</f>
        <v/>
      </c>
    </row>
    <row r="298" spans="1:52" x14ac:dyDescent="0.3">
      <c r="B298" t="s">
        <v>330</v>
      </c>
      <c r="C298" s="471" t="s">
        <v>27</v>
      </c>
      <c r="D298" s="472"/>
      <c r="E298" s="349"/>
      <c r="F298" s="473" t="s">
        <v>12</v>
      </c>
      <c r="G298" s="350" t="str">
        <f t="shared" si="56"/>
        <v/>
      </c>
      <c r="H298" s="293" t="str">
        <f t="shared" si="57"/>
        <v/>
      </c>
      <c r="P298" s="333">
        <f t="shared" si="58"/>
        <v>22</v>
      </c>
      <c r="Q298" s="334" t="e">
        <f t="shared" si="61"/>
        <v>#N/A</v>
      </c>
      <c r="R298" s="359">
        <f t="shared" si="59"/>
        <v>0</v>
      </c>
      <c r="S298" s="380">
        <f t="shared" si="60"/>
        <v>0</v>
      </c>
      <c r="T298" s="333" t="str" cm="1">
        <f t="array" ref="T298">IF($C298&lt;&gt;"bitte wählen",INDEX(ListeLebensmittelIFEU,T$189+1,$P298),"")</f>
        <v/>
      </c>
      <c r="U298" s="334" t="str" cm="1">
        <f t="array" ref="U298">IF($C298&lt;&gt;"bitte wählen",INDEX(ListeLebensmittelIFEU,U$189+1,$P298),"")</f>
        <v/>
      </c>
      <c r="V298" s="334" t="str" cm="1">
        <f t="array" ref="V298">IF($C298&lt;&gt;"bitte wählen",INDEX(ListeLebensmittelIFEU,V$189+1,$P298),"")</f>
        <v/>
      </c>
      <c r="W298" s="334" t="str" cm="1">
        <f t="array" ref="W298">IF($C298&lt;&gt;"bitte wählen",INDEX(ListeLebensmittelIFEU,W$189+1,$P298),"")</f>
        <v/>
      </c>
      <c r="X298" s="334" t="str" cm="1">
        <f t="array" ref="X298">IF($C298&lt;&gt;"bitte wählen",INDEX(ListeLebensmittelIFEU,X$189+1,$P298),"")</f>
        <v/>
      </c>
      <c r="Y298" s="334" t="str" cm="1">
        <f t="array" ref="Y298">IF($C298&lt;&gt;"bitte wählen",INDEX(ListeLebensmittelIFEU,Y$189+1,$P298),"")</f>
        <v/>
      </c>
      <c r="Z298" s="334" t="str" cm="1">
        <f t="array" ref="Z298">IF($C298&lt;&gt;"bitte wählen",INDEX(ListeLebensmittelIFEU,Z$189+1,$P298),"")</f>
        <v/>
      </c>
      <c r="AA298" s="334" t="str" cm="1">
        <f t="array" ref="AA298">IF($C298&lt;&gt;"bitte wählen",INDEX(ListeLebensmittelIFEU,AA$189+1,$P298),"")</f>
        <v/>
      </c>
      <c r="AB298" s="334" t="str" cm="1">
        <f t="array" ref="AB298">IF($C298&lt;&gt;"bitte wählen",INDEX(ListeLebensmittelIFEU,AB$189+1,$P298),"")</f>
        <v/>
      </c>
      <c r="AC298" s="334" t="str" cm="1">
        <f t="array" ref="AC298">IF($C298&lt;&gt;"bitte wählen",INDEX(ListeLebensmittelIFEU,AC$189+1,$P298),"")</f>
        <v/>
      </c>
      <c r="AD298" s="334" t="str" cm="1">
        <f t="array" ref="AD298">IF($C298&lt;&gt;"bitte wählen",INDEX(ListeLebensmittelIFEU,AD$189+1,$P298),"")</f>
        <v/>
      </c>
      <c r="AE298" s="334" t="str" cm="1">
        <f t="array" ref="AE298">IF($C298&lt;&gt;"bitte wählen",INDEX(ListeLebensmittelIFEU,AE$189+1,$P298),"")</f>
        <v/>
      </c>
      <c r="AF298" s="334" t="str" cm="1">
        <f t="array" ref="AF298">IF($C298&lt;&gt;"bitte wählen",INDEX(ListeLebensmittelIFEU,AF$189+1,$P298),"")</f>
        <v/>
      </c>
      <c r="AG298" s="334" t="str" cm="1">
        <f t="array" ref="AG298">IF($C298&lt;&gt;"bitte wählen",INDEX(ListeLebensmittelIFEU,AG$189+1,$P298),"")</f>
        <v/>
      </c>
      <c r="AH298" s="334" t="str" cm="1">
        <f t="array" ref="AH298">IF($C298&lt;&gt;"bitte wählen",INDEX(ListeLebensmittelIFEU,AH$189+1,$P298),"")</f>
        <v/>
      </c>
      <c r="AI298" s="334" t="str" cm="1">
        <f t="array" ref="AI298">IF($C298&lt;&gt;"bitte wählen",INDEX(ListeLebensmittelIFEU,AI$189+1,$P298),"")</f>
        <v/>
      </c>
      <c r="AJ298" s="334" t="str" cm="1">
        <f t="array" ref="AJ298">IF($C298&lt;&gt;"bitte wählen",INDEX(ListeLebensmittelIFEU,AJ$189+1,$P298),"")</f>
        <v/>
      </c>
      <c r="AK298" s="334" t="str" cm="1">
        <f t="array" ref="AK298">IF($C298&lt;&gt;"bitte wählen",INDEX(ListeLebensmittelIFEU,AK$189+1,$P298),"")</f>
        <v/>
      </c>
      <c r="AL298" s="334" t="str" cm="1">
        <f t="array" ref="AL298">IF($C298&lt;&gt;"bitte wählen",INDEX(ListeLebensmittelIFEU,AL$189+1,$P298),"")</f>
        <v/>
      </c>
      <c r="AM298" s="334" t="str" cm="1">
        <f t="array" ref="AM298">IF($C298&lt;&gt;"bitte wählen",INDEX(ListeLebensmittelIFEU,AM$189+1,$P298),"")</f>
        <v/>
      </c>
      <c r="AN298" s="334" t="str" cm="1">
        <f t="array" ref="AN298">IF($C298&lt;&gt;"bitte wählen",INDEX(ListeLebensmittelIFEU,AN$189+1,$P298),"")</f>
        <v/>
      </c>
      <c r="AO298" s="334" t="str" cm="1">
        <f t="array" ref="AO298">IF($C298&lt;&gt;"bitte wählen",INDEX(ListeLebensmittelIFEU,AO$189+1,$P298),"")</f>
        <v/>
      </c>
      <c r="AP298" s="334" t="str" cm="1">
        <f t="array" ref="AP298">IF($C298&lt;&gt;"bitte wählen",INDEX(ListeLebensmittelIFEU,AP$189+1,$P298),"")</f>
        <v/>
      </c>
      <c r="AQ298" s="334" t="str" cm="1">
        <f t="array" ref="AQ298">IF($C298&lt;&gt;"bitte wählen",INDEX(ListeLebensmittelIFEU,AQ$189+1,$P298),"")</f>
        <v/>
      </c>
      <c r="AR298" s="334" t="str" cm="1">
        <f t="array" ref="AR298">IF($C298&lt;&gt;"bitte wählen",INDEX(ListeLebensmittelIFEU,AR$189+1,$P298),"")</f>
        <v/>
      </c>
      <c r="AS298" s="334" t="str" cm="1">
        <f t="array" ref="AS298">IF($C298&lt;&gt;"bitte wählen",INDEX(ListeLebensmittelIFEU,AS$189+1,$P298),"")</f>
        <v/>
      </c>
      <c r="AT298" s="334" t="str" cm="1">
        <f t="array" ref="AT298">IF($C298&lt;&gt;"bitte wählen",INDEX(ListeLebensmittelIFEU,AT$189+1,$P298),"")</f>
        <v/>
      </c>
      <c r="AU298" s="334" t="str" cm="1">
        <f t="array" ref="AU298">IF($C298&lt;&gt;"bitte wählen",INDEX(ListeLebensmittelIFEU,AU$189+1,$P298),"")</f>
        <v/>
      </c>
      <c r="AV298" s="334" t="str" cm="1">
        <f t="array" ref="AV298">IF($C298&lt;&gt;"bitte wählen",INDEX(ListeLebensmittelIFEU,AV$189+1,$P298),"")</f>
        <v/>
      </c>
      <c r="AW298" s="334" t="str" cm="1">
        <f t="array" ref="AW298">IF($C298&lt;&gt;"bitte wählen",INDEX(ListeLebensmittelIFEU,AW$189+1,$P298),"")</f>
        <v/>
      </c>
      <c r="AX298" s="334" t="str" cm="1">
        <f t="array" ref="AX298">IF($C298&lt;&gt;"bitte wählen",INDEX(ListeLebensmittelIFEU,AX$189+1,$P298),"")</f>
        <v/>
      </c>
      <c r="AY298" s="334" t="str" cm="1">
        <f t="array" ref="AY298">IF($C298&lt;&gt;"bitte wählen",INDEX(ListeLebensmittelIFEU,AY$189+1,$P298),"")</f>
        <v/>
      </c>
      <c r="AZ298" s="335" t="str" cm="1">
        <f t="array" ref="AZ298">IF($C298&lt;&gt;"bitte wählen",INDEX(ListeLebensmittelIFEU,AZ$189+1,$P298),"")</f>
        <v/>
      </c>
    </row>
    <row r="299" spans="1:52" x14ac:dyDescent="0.3">
      <c r="B299" t="s">
        <v>398</v>
      </c>
      <c r="C299" s="471" t="s">
        <v>27</v>
      </c>
      <c r="D299" s="472"/>
      <c r="E299" s="349"/>
      <c r="F299" s="473" t="s">
        <v>12</v>
      </c>
      <c r="G299" s="350" t="str">
        <f t="shared" si="56"/>
        <v/>
      </c>
      <c r="H299" s="293" t="str">
        <f t="shared" si="57"/>
        <v/>
      </c>
      <c r="P299" s="336">
        <f t="shared" si="58"/>
        <v>22</v>
      </c>
      <c r="Q299" s="337" t="e">
        <f t="shared" si="61"/>
        <v>#N/A</v>
      </c>
      <c r="R299" s="360">
        <f t="shared" si="59"/>
        <v>0</v>
      </c>
      <c r="S299" s="381">
        <f t="shared" si="60"/>
        <v>0</v>
      </c>
      <c r="T299" s="336" t="str" cm="1">
        <f t="array" ref="T299">IF($C299&lt;&gt;"bitte wählen",INDEX(ListeLebensmittelIFEU,T$189+1,$P299),"")</f>
        <v/>
      </c>
      <c r="U299" s="337" t="str" cm="1">
        <f t="array" ref="U299">IF($C299&lt;&gt;"bitte wählen",INDEX(ListeLebensmittelIFEU,U$189+1,$P299),"")</f>
        <v/>
      </c>
      <c r="V299" s="337" t="str" cm="1">
        <f t="array" ref="V299">IF($C299&lt;&gt;"bitte wählen",INDEX(ListeLebensmittelIFEU,V$189+1,$P299),"")</f>
        <v/>
      </c>
      <c r="W299" s="337" t="str" cm="1">
        <f t="array" ref="W299">IF($C299&lt;&gt;"bitte wählen",INDEX(ListeLebensmittelIFEU,W$189+1,$P299),"")</f>
        <v/>
      </c>
      <c r="X299" s="337" t="str" cm="1">
        <f t="array" ref="X299">IF($C299&lt;&gt;"bitte wählen",INDEX(ListeLebensmittelIFEU,X$189+1,$P299),"")</f>
        <v/>
      </c>
      <c r="Y299" s="337" t="str" cm="1">
        <f t="array" ref="Y299">IF($C299&lt;&gt;"bitte wählen",INDEX(ListeLebensmittelIFEU,Y$189+1,$P299),"")</f>
        <v/>
      </c>
      <c r="Z299" s="337" t="str" cm="1">
        <f t="array" ref="Z299">IF($C299&lt;&gt;"bitte wählen",INDEX(ListeLebensmittelIFEU,Z$189+1,$P299),"")</f>
        <v/>
      </c>
      <c r="AA299" s="337" t="str" cm="1">
        <f t="array" ref="AA299">IF($C299&lt;&gt;"bitte wählen",INDEX(ListeLebensmittelIFEU,AA$189+1,$P299),"")</f>
        <v/>
      </c>
      <c r="AB299" s="337" t="str" cm="1">
        <f t="array" ref="AB299">IF($C299&lt;&gt;"bitte wählen",INDEX(ListeLebensmittelIFEU,AB$189+1,$P299),"")</f>
        <v/>
      </c>
      <c r="AC299" s="337" t="str" cm="1">
        <f t="array" ref="AC299">IF($C299&lt;&gt;"bitte wählen",INDEX(ListeLebensmittelIFEU,AC$189+1,$P299),"")</f>
        <v/>
      </c>
      <c r="AD299" s="337" t="str" cm="1">
        <f t="array" ref="AD299">IF($C299&lt;&gt;"bitte wählen",INDEX(ListeLebensmittelIFEU,AD$189+1,$P299),"")</f>
        <v/>
      </c>
      <c r="AE299" s="337" t="str" cm="1">
        <f t="array" ref="AE299">IF($C299&lt;&gt;"bitte wählen",INDEX(ListeLebensmittelIFEU,AE$189+1,$P299),"")</f>
        <v/>
      </c>
      <c r="AF299" s="337" t="str" cm="1">
        <f t="array" ref="AF299">IF($C299&lt;&gt;"bitte wählen",INDEX(ListeLebensmittelIFEU,AF$189+1,$P299),"")</f>
        <v/>
      </c>
      <c r="AG299" s="337" t="str" cm="1">
        <f t="array" ref="AG299">IF($C299&lt;&gt;"bitte wählen",INDEX(ListeLebensmittelIFEU,AG$189+1,$P299),"")</f>
        <v/>
      </c>
      <c r="AH299" s="337" t="str" cm="1">
        <f t="array" ref="AH299">IF($C299&lt;&gt;"bitte wählen",INDEX(ListeLebensmittelIFEU,AH$189+1,$P299),"")</f>
        <v/>
      </c>
      <c r="AI299" s="337" t="str" cm="1">
        <f t="array" ref="AI299">IF($C299&lt;&gt;"bitte wählen",INDEX(ListeLebensmittelIFEU,AI$189+1,$P299),"")</f>
        <v/>
      </c>
      <c r="AJ299" s="337" t="str" cm="1">
        <f t="array" ref="AJ299">IF($C299&lt;&gt;"bitte wählen",INDEX(ListeLebensmittelIFEU,AJ$189+1,$P299),"")</f>
        <v/>
      </c>
      <c r="AK299" s="337" t="str" cm="1">
        <f t="array" ref="AK299">IF($C299&lt;&gt;"bitte wählen",INDEX(ListeLebensmittelIFEU,AK$189+1,$P299),"")</f>
        <v/>
      </c>
      <c r="AL299" s="337" t="str" cm="1">
        <f t="array" ref="AL299">IF($C299&lt;&gt;"bitte wählen",INDEX(ListeLebensmittelIFEU,AL$189+1,$P299),"")</f>
        <v/>
      </c>
      <c r="AM299" s="337" t="str" cm="1">
        <f t="array" ref="AM299">IF($C299&lt;&gt;"bitte wählen",INDEX(ListeLebensmittelIFEU,AM$189+1,$P299),"")</f>
        <v/>
      </c>
      <c r="AN299" s="337" t="str" cm="1">
        <f t="array" ref="AN299">IF($C299&lt;&gt;"bitte wählen",INDEX(ListeLebensmittelIFEU,AN$189+1,$P299),"")</f>
        <v/>
      </c>
      <c r="AO299" s="337" t="str" cm="1">
        <f t="array" ref="AO299">IF($C299&lt;&gt;"bitte wählen",INDEX(ListeLebensmittelIFEU,AO$189+1,$P299),"")</f>
        <v/>
      </c>
      <c r="AP299" s="337" t="str" cm="1">
        <f t="array" ref="AP299">IF($C299&lt;&gt;"bitte wählen",INDEX(ListeLebensmittelIFEU,AP$189+1,$P299),"")</f>
        <v/>
      </c>
      <c r="AQ299" s="337" t="str" cm="1">
        <f t="array" ref="AQ299">IF($C299&lt;&gt;"bitte wählen",INDEX(ListeLebensmittelIFEU,AQ$189+1,$P299),"")</f>
        <v/>
      </c>
      <c r="AR299" s="337" t="str" cm="1">
        <f t="array" ref="AR299">IF($C299&lt;&gt;"bitte wählen",INDEX(ListeLebensmittelIFEU,AR$189+1,$P299),"")</f>
        <v/>
      </c>
      <c r="AS299" s="337" t="str" cm="1">
        <f t="array" ref="AS299">IF($C299&lt;&gt;"bitte wählen",INDEX(ListeLebensmittelIFEU,AS$189+1,$P299),"")</f>
        <v/>
      </c>
      <c r="AT299" s="337" t="str" cm="1">
        <f t="array" ref="AT299">IF($C299&lt;&gt;"bitte wählen",INDEX(ListeLebensmittelIFEU,AT$189+1,$P299),"")</f>
        <v/>
      </c>
      <c r="AU299" s="337" t="str" cm="1">
        <f t="array" ref="AU299">IF($C299&lt;&gt;"bitte wählen",INDEX(ListeLebensmittelIFEU,AU$189+1,$P299),"")</f>
        <v/>
      </c>
      <c r="AV299" s="337" t="str" cm="1">
        <f t="array" ref="AV299">IF($C299&lt;&gt;"bitte wählen",INDEX(ListeLebensmittelIFEU,AV$189+1,$P299),"")</f>
        <v/>
      </c>
      <c r="AW299" s="337" t="str" cm="1">
        <f t="array" ref="AW299">IF($C299&lt;&gt;"bitte wählen",INDEX(ListeLebensmittelIFEU,AW$189+1,$P299),"")</f>
        <v/>
      </c>
      <c r="AX299" s="337" t="str" cm="1">
        <f t="array" ref="AX299">IF($C299&lt;&gt;"bitte wählen",INDEX(ListeLebensmittelIFEU,AX$189+1,$P299),"")</f>
        <v/>
      </c>
      <c r="AY299" s="337" t="str" cm="1">
        <f t="array" ref="AY299">IF($C299&lt;&gt;"bitte wählen",INDEX(ListeLebensmittelIFEU,AY$189+1,$P299),"")</f>
        <v/>
      </c>
      <c r="AZ299" s="338" t="str" cm="1">
        <f t="array" ref="AZ299">IF($C299&lt;&gt;"bitte wählen",INDEX(ListeLebensmittelIFEU,AZ$189+1,$P299),"")</f>
        <v/>
      </c>
    </row>
    <row r="300" spans="1:52" x14ac:dyDescent="0.3">
      <c r="B300" s="105" t="str">
        <f>IF(R300,IF(E300/IF(D292="",1,D292)&lt;GewichtMittagessenMin,"Hinweis: Dies scheint eine relativ kleine Portion zu sein",IF(E300/IF(D292="",1,D292)&gt;GewichtMittagessenMax,"Hinweis: Dies scheint eine relativ große Portion zu sein","")),"")</f>
        <v/>
      </c>
      <c r="C300" s="78"/>
      <c r="D300" s="78"/>
      <c r="E300" s="355">
        <f>SUM(E294:E299)-SUMIF(C294:C299,"Getränke",E294:E299)</f>
        <v>0</v>
      </c>
      <c r="G300" s="15" t="s">
        <v>622</v>
      </c>
      <c r="H300" s="293">
        <f>SUM(H294:H299)</f>
        <v>0</v>
      </c>
      <c r="Q300" s="383" t="s">
        <v>1030</v>
      </c>
      <c r="R300" s="386" t="b">
        <f>IF(SUM(R294:R299)&gt;0,TRUE,FALSE)</f>
        <v>0</v>
      </c>
      <c r="S300" s="383">
        <f>SUM(S294:S299)</f>
        <v>0</v>
      </c>
      <c r="T300" s="383" t="s">
        <v>1029</v>
      </c>
      <c r="U300" s="383" t="str">
        <f>IF(R300,IF(S300&gt;9,10,IF(S300&gt;0,1,0)),"")</f>
        <v/>
      </c>
    </row>
    <row r="301" spans="1:52" x14ac:dyDescent="0.3">
      <c r="B301" s="385" t="str">
        <f>IF(U300=0,"🌱 vegan","")</f>
        <v/>
      </c>
      <c r="C301" s="105" t="str">
        <f>IF(U300=1,"Ⓥ vegetarisch","")</f>
        <v/>
      </c>
      <c r="D301" s="384" t="str">
        <f>IF(U300=10,"🥩 mit Fleisch/Fisch","")</f>
        <v/>
      </c>
      <c r="E301" s="78"/>
      <c r="G301" s="15" t="s">
        <v>623</v>
      </c>
      <c r="H301" s="294">
        <f>IF(D292="",H300,H300/D292)</f>
        <v>0</v>
      </c>
    </row>
    <row r="302" spans="1:52" x14ac:dyDescent="0.3">
      <c r="T302" s="84"/>
    </row>
    <row r="303" spans="1:52" ht="18" thickBot="1" x14ac:dyDescent="0.4">
      <c r="B303" s="496" t="str">
        <f>"CO₂-Bilanz Gericht 10: "&amp;D304</f>
        <v>CO₂-Bilanz Gericht 10: Menü 10</v>
      </c>
      <c r="C303" s="496"/>
      <c r="D303" s="496"/>
      <c r="E303" s="496"/>
      <c r="T303" s="84"/>
    </row>
    <row r="304" spans="1:52" ht="15" thickTop="1" x14ac:dyDescent="0.3">
      <c r="B304" t="s">
        <v>994</v>
      </c>
      <c r="D304" s="288" t="s">
        <v>1002</v>
      </c>
      <c r="F304" s="78"/>
      <c r="G304" s="78"/>
      <c r="H304" s="78"/>
      <c r="I304" s="78"/>
    </row>
    <row r="305" spans="1:52" x14ac:dyDescent="0.3">
      <c r="B305" t="s">
        <v>995</v>
      </c>
      <c r="C305" s="78"/>
      <c r="D305" s="291">
        <v>1</v>
      </c>
      <c r="E305" s="301" t="str">
        <f>IF(ISNUMBER(FIND("g",_xlfn.CONCAT(E307:E312))),"Bitte Menge als reine Zahl ohne Zusatz g eingeben","")</f>
        <v/>
      </c>
      <c r="G305" s="78"/>
      <c r="H305" s="78"/>
      <c r="T305" s="329" t="s">
        <v>918</v>
      </c>
      <c r="U305" s="330"/>
      <c r="V305" s="330"/>
      <c r="W305" s="330"/>
      <c r="X305" s="330"/>
      <c r="Y305" s="330"/>
    </row>
    <row r="306" spans="1:52" ht="44.4" x14ac:dyDescent="0.35">
      <c r="A306" s="376" t="s">
        <v>1217</v>
      </c>
      <c r="C306" s="297" t="s">
        <v>993</v>
      </c>
      <c r="D306" s="313" t="s">
        <v>992</v>
      </c>
      <c r="E306" s="298" t="s">
        <v>323</v>
      </c>
      <c r="F306" s="298" t="s">
        <v>324</v>
      </c>
      <c r="G306" s="296" t="s">
        <v>534</v>
      </c>
      <c r="H306" s="296" t="s">
        <v>535</v>
      </c>
      <c r="P306" s="356" t="s">
        <v>956</v>
      </c>
      <c r="Q306" s="356" t="s">
        <v>957</v>
      </c>
      <c r="R306" s="357" t="s">
        <v>958</v>
      </c>
      <c r="S306" s="357" t="s">
        <v>1028</v>
      </c>
      <c r="T306" s="361">
        <v>1</v>
      </c>
      <c r="U306" s="362">
        <v>2</v>
      </c>
      <c r="V306" s="362">
        <v>3</v>
      </c>
      <c r="W306" s="362">
        <v>4</v>
      </c>
      <c r="X306" s="362">
        <v>5</v>
      </c>
      <c r="Y306" s="362">
        <v>6</v>
      </c>
      <c r="Z306" s="362">
        <v>7</v>
      </c>
      <c r="AA306" s="362">
        <v>8</v>
      </c>
      <c r="AB306" s="362">
        <v>9</v>
      </c>
      <c r="AC306" s="362">
        <v>10</v>
      </c>
      <c r="AD306" s="362">
        <v>11</v>
      </c>
      <c r="AE306" s="362">
        <v>12</v>
      </c>
      <c r="AF306" s="362">
        <v>13</v>
      </c>
      <c r="AG306" s="362">
        <v>14</v>
      </c>
      <c r="AH306" s="362">
        <v>15</v>
      </c>
      <c r="AI306" s="362">
        <v>16</v>
      </c>
      <c r="AJ306" s="362">
        <v>17</v>
      </c>
      <c r="AK306" s="362">
        <v>18</v>
      </c>
      <c r="AL306" s="362">
        <v>19</v>
      </c>
      <c r="AM306" s="362">
        <v>20</v>
      </c>
      <c r="AN306" s="362">
        <v>21</v>
      </c>
      <c r="AO306" s="362">
        <v>22</v>
      </c>
      <c r="AP306" s="362">
        <v>23</v>
      </c>
      <c r="AQ306" s="362">
        <v>24</v>
      </c>
      <c r="AR306" s="362">
        <v>25</v>
      </c>
      <c r="AS306" s="362">
        <v>26</v>
      </c>
      <c r="AT306" s="362">
        <v>27</v>
      </c>
      <c r="AU306" s="362">
        <v>28</v>
      </c>
      <c r="AV306" s="362">
        <v>29</v>
      </c>
      <c r="AW306" s="362">
        <v>30</v>
      </c>
      <c r="AX306" s="362">
        <v>31</v>
      </c>
      <c r="AY306" s="362">
        <v>32</v>
      </c>
      <c r="AZ306" s="363">
        <v>33</v>
      </c>
    </row>
    <row r="307" spans="1:52" x14ac:dyDescent="0.3">
      <c r="B307" t="s">
        <v>13</v>
      </c>
      <c r="C307" s="471" t="s">
        <v>27</v>
      </c>
      <c r="D307" s="472"/>
      <c r="E307" s="470"/>
      <c r="F307" s="473" t="s">
        <v>12</v>
      </c>
      <c r="G307" s="350" t="str">
        <f t="shared" ref="G307:G312" si="62">IF(D307="","",R307*IF(F307="Ja",FaktorBeiLokalemProdukt,1))</f>
        <v/>
      </c>
      <c r="H307" s="293" t="str">
        <f t="shared" ref="H307:H312" si="63">IF(D307="","",E307*G307)</f>
        <v/>
      </c>
      <c r="P307" s="331">
        <f t="shared" ref="P307:P312" si="64">VLOOKUP(C307,$C$457:$D$464,2,FALSE)</f>
        <v>22</v>
      </c>
      <c r="Q307" s="332" t="e">
        <f>MATCH(D307,T307:AZ307,0)</f>
        <v>#N/A</v>
      </c>
      <c r="R307" s="358">
        <f t="shared" ref="R307:R312" si="65">_xlfn.IFNA(IF(D307&lt;&gt;"",VLOOKUP(D307,$C$544:$E$774,2,FALSE),0),0)</f>
        <v>0</v>
      </c>
      <c r="S307" s="358">
        <f t="shared" ref="S307:S312" si="66">_xlfn.IFNA(IF(D307&lt;&gt;"",VLOOKUP(D307,$C$544:$E$774,3,FALSE),0),0)</f>
        <v>0</v>
      </c>
      <c r="T307" s="333" t="str" cm="1">
        <f t="array" ref="T307">IF($C307&lt;&gt;"bitte wählen",INDEX(ListeLebensmittelIFEU,T$189+1,$P307),"")</f>
        <v/>
      </c>
      <c r="U307" s="334" t="str" cm="1">
        <f t="array" ref="U307">IF($C307&lt;&gt;"bitte wählen",INDEX(ListeLebensmittelIFEU,U$189+1,$P307),"")</f>
        <v/>
      </c>
      <c r="V307" s="334" t="str" cm="1">
        <f t="array" ref="V307">IF($C307&lt;&gt;"bitte wählen",INDEX(ListeLebensmittelIFEU,V$189+1,$P307),"")</f>
        <v/>
      </c>
      <c r="W307" s="334" t="str" cm="1">
        <f t="array" ref="W307">IF($C307&lt;&gt;"bitte wählen",INDEX(ListeLebensmittelIFEU,W$189+1,$P307),"")</f>
        <v/>
      </c>
      <c r="X307" s="334" t="str" cm="1">
        <f t="array" ref="X307">IF($C307&lt;&gt;"bitte wählen",INDEX(ListeLebensmittelIFEU,X$189+1,$P307),"")</f>
        <v/>
      </c>
      <c r="Y307" s="334" t="str" cm="1">
        <f t="array" ref="Y307">IF($C307&lt;&gt;"bitte wählen",INDEX(ListeLebensmittelIFEU,Y$189+1,$P307),"")</f>
        <v/>
      </c>
      <c r="Z307" s="334" t="str" cm="1">
        <f t="array" ref="Z307">IF($C307&lt;&gt;"bitte wählen",INDEX(ListeLebensmittelIFEU,Z$189+1,$P307),"")</f>
        <v/>
      </c>
      <c r="AA307" s="334" t="str" cm="1">
        <f t="array" ref="AA307">IF($C307&lt;&gt;"bitte wählen",INDEX(ListeLebensmittelIFEU,AA$189+1,$P307),"")</f>
        <v/>
      </c>
      <c r="AB307" s="334" t="str" cm="1">
        <f t="array" ref="AB307">IF($C307&lt;&gt;"bitte wählen",INDEX(ListeLebensmittelIFEU,AB$189+1,$P307),"")</f>
        <v/>
      </c>
      <c r="AC307" s="334" t="str" cm="1">
        <f t="array" ref="AC307">IF($C307&lt;&gt;"bitte wählen",INDEX(ListeLebensmittelIFEU,AC$189+1,$P307),"")</f>
        <v/>
      </c>
      <c r="AD307" s="334" t="str" cm="1">
        <f t="array" ref="AD307">IF($C307&lt;&gt;"bitte wählen",INDEX(ListeLebensmittelIFEU,AD$189+1,$P307),"")</f>
        <v/>
      </c>
      <c r="AE307" s="334" t="str" cm="1">
        <f t="array" ref="AE307">IF($C307&lt;&gt;"bitte wählen",INDEX(ListeLebensmittelIFEU,AE$189+1,$P307),"")</f>
        <v/>
      </c>
      <c r="AF307" s="334" t="str" cm="1">
        <f t="array" ref="AF307">IF($C307&lt;&gt;"bitte wählen",INDEX(ListeLebensmittelIFEU,AF$189+1,$P307),"")</f>
        <v/>
      </c>
      <c r="AG307" s="334" t="str" cm="1">
        <f t="array" ref="AG307">IF($C307&lt;&gt;"bitte wählen",INDEX(ListeLebensmittelIFEU,AG$189+1,$P307),"")</f>
        <v/>
      </c>
      <c r="AH307" s="334" t="str" cm="1">
        <f t="array" ref="AH307">IF($C307&lt;&gt;"bitte wählen",INDEX(ListeLebensmittelIFEU,AH$189+1,$P307),"")</f>
        <v/>
      </c>
      <c r="AI307" s="334" t="str" cm="1">
        <f t="array" ref="AI307">IF($C307&lt;&gt;"bitte wählen",INDEX(ListeLebensmittelIFEU,AI$189+1,$P307),"")</f>
        <v/>
      </c>
      <c r="AJ307" s="334" t="str" cm="1">
        <f t="array" ref="AJ307">IF($C307&lt;&gt;"bitte wählen",INDEX(ListeLebensmittelIFEU,AJ$189+1,$P307),"")</f>
        <v/>
      </c>
      <c r="AK307" s="334" t="str" cm="1">
        <f t="array" ref="AK307">IF($C307&lt;&gt;"bitte wählen",INDEX(ListeLebensmittelIFEU,AK$189+1,$P307),"")</f>
        <v/>
      </c>
      <c r="AL307" s="334" t="str" cm="1">
        <f t="array" ref="AL307">IF($C307&lt;&gt;"bitte wählen",INDEX(ListeLebensmittelIFEU,AL$189+1,$P307),"")</f>
        <v/>
      </c>
      <c r="AM307" s="334" t="str" cm="1">
        <f t="array" ref="AM307">IF($C307&lt;&gt;"bitte wählen",INDEX(ListeLebensmittelIFEU,AM$189+1,$P307),"")</f>
        <v/>
      </c>
      <c r="AN307" s="334" t="str" cm="1">
        <f t="array" ref="AN307">IF($C307&lt;&gt;"bitte wählen",INDEX(ListeLebensmittelIFEU,AN$189+1,$P307),"")</f>
        <v/>
      </c>
      <c r="AO307" s="334" t="str" cm="1">
        <f t="array" ref="AO307">IF($C307&lt;&gt;"bitte wählen",INDEX(ListeLebensmittelIFEU,AO$189+1,$P307),"")</f>
        <v/>
      </c>
      <c r="AP307" s="334" t="str" cm="1">
        <f t="array" ref="AP307">IF($C307&lt;&gt;"bitte wählen",INDEX(ListeLebensmittelIFEU,AP$189+1,$P307),"")</f>
        <v/>
      </c>
      <c r="AQ307" s="334" t="str" cm="1">
        <f t="array" ref="AQ307">IF($C307&lt;&gt;"bitte wählen",INDEX(ListeLebensmittelIFEU,AQ$189+1,$P307),"")</f>
        <v/>
      </c>
      <c r="AR307" s="334" t="str" cm="1">
        <f t="array" ref="AR307">IF($C307&lt;&gt;"bitte wählen",INDEX(ListeLebensmittelIFEU,AR$189+1,$P307),"")</f>
        <v/>
      </c>
      <c r="AS307" s="334" t="str" cm="1">
        <f t="array" ref="AS307">IF($C307&lt;&gt;"bitte wählen",INDEX(ListeLebensmittelIFEU,AS$189+1,$P307),"")</f>
        <v/>
      </c>
      <c r="AT307" s="334" t="str" cm="1">
        <f t="array" ref="AT307">IF($C307&lt;&gt;"bitte wählen",INDEX(ListeLebensmittelIFEU,AT$189+1,$P307),"")</f>
        <v/>
      </c>
      <c r="AU307" s="334" t="str" cm="1">
        <f t="array" ref="AU307">IF($C307&lt;&gt;"bitte wählen",INDEX(ListeLebensmittelIFEU,AU$189+1,$P307),"")</f>
        <v/>
      </c>
      <c r="AV307" s="334" t="str" cm="1">
        <f t="array" ref="AV307">IF($C307&lt;&gt;"bitte wählen",INDEX(ListeLebensmittelIFEU,AV$189+1,$P307),"")</f>
        <v/>
      </c>
      <c r="AW307" s="334" t="str" cm="1">
        <f t="array" ref="AW307">IF($C307&lt;&gt;"bitte wählen",INDEX(ListeLebensmittelIFEU,AW$189+1,$P307),"")</f>
        <v/>
      </c>
      <c r="AX307" s="334" t="str" cm="1">
        <f t="array" ref="AX307">IF($C307&lt;&gt;"bitte wählen",INDEX(ListeLebensmittelIFEU,AX$189+1,$P307),"")</f>
        <v/>
      </c>
      <c r="AY307" s="334" t="str" cm="1">
        <f t="array" ref="AY307">IF($C307&lt;&gt;"bitte wählen",INDEX(ListeLebensmittelIFEU,AY$189+1,$P307),"")</f>
        <v/>
      </c>
      <c r="AZ307" s="335" t="str" cm="1">
        <f t="array" ref="AZ307">IF($C307&lt;&gt;"bitte wählen",INDEX(ListeLebensmittelIFEU,AZ$189+1,$P307),"")</f>
        <v/>
      </c>
    </row>
    <row r="308" spans="1:52" x14ac:dyDescent="0.3">
      <c r="B308" t="s">
        <v>327</v>
      </c>
      <c r="C308" s="471" t="s">
        <v>27</v>
      </c>
      <c r="D308" s="472"/>
      <c r="E308" s="349"/>
      <c r="F308" s="473" t="s">
        <v>12</v>
      </c>
      <c r="G308" s="350" t="str">
        <f t="shared" si="62"/>
        <v/>
      </c>
      <c r="H308" s="293" t="str">
        <f t="shared" si="63"/>
        <v/>
      </c>
      <c r="P308" s="333">
        <f t="shared" si="64"/>
        <v>22</v>
      </c>
      <c r="Q308" s="334" t="e">
        <f t="shared" ref="Q308:Q312" si="67">MATCH(D308,T308:AZ308,0)</f>
        <v>#N/A</v>
      </c>
      <c r="R308" s="359">
        <f t="shared" si="65"/>
        <v>0</v>
      </c>
      <c r="S308" s="380">
        <f t="shared" si="66"/>
        <v>0</v>
      </c>
      <c r="T308" s="333" t="str" cm="1">
        <f t="array" ref="T308">IF($C308&lt;&gt;"bitte wählen",INDEX(ListeLebensmittelIFEU,T$189+1,$P308),"")</f>
        <v/>
      </c>
      <c r="U308" s="334" t="str" cm="1">
        <f t="array" ref="U308">IF($C308&lt;&gt;"bitte wählen",INDEX(ListeLebensmittelIFEU,U$189+1,$P308),"")</f>
        <v/>
      </c>
      <c r="V308" s="334" t="str" cm="1">
        <f t="array" ref="V308">IF($C308&lt;&gt;"bitte wählen",INDEX(ListeLebensmittelIFEU,V$189+1,$P308),"")</f>
        <v/>
      </c>
      <c r="W308" s="334" t="str" cm="1">
        <f t="array" ref="W308">IF($C308&lt;&gt;"bitte wählen",INDEX(ListeLebensmittelIFEU,W$189+1,$P308),"")</f>
        <v/>
      </c>
      <c r="X308" s="334" t="str" cm="1">
        <f t="array" ref="X308">IF($C308&lt;&gt;"bitte wählen",INDEX(ListeLebensmittelIFEU,X$189+1,$P308),"")</f>
        <v/>
      </c>
      <c r="Y308" s="334" t="str" cm="1">
        <f t="array" ref="Y308">IF($C308&lt;&gt;"bitte wählen",INDEX(ListeLebensmittelIFEU,Y$189+1,$P308),"")</f>
        <v/>
      </c>
      <c r="Z308" s="334" t="str" cm="1">
        <f t="array" ref="Z308">IF($C308&lt;&gt;"bitte wählen",INDEX(ListeLebensmittelIFEU,Z$189+1,$P308),"")</f>
        <v/>
      </c>
      <c r="AA308" s="334" t="str" cm="1">
        <f t="array" ref="AA308">IF($C308&lt;&gt;"bitte wählen",INDEX(ListeLebensmittelIFEU,AA$189+1,$P308),"")</f>
        <v/>
      </c>
      <c r="AB308" s="334" t="str" cm="1">
        <f t="array" ref="AB308">IF($C308&lt;&gt;"bitte wählen",INDEX(ListeLebensmittelIFEU,AB$189+1,$P308),"")</f>
        <v/>
      </c>
      <c r="AC308" s="334" t="str" cm="1">
        <f t="array" ref="AC308">IF($C308&lt;&gt;"bitte wählen",INDEX(ListeLebensmittelIFEU,AC$189+1,$P308),"")</f>
        <v/>
      </c>
      <c r="AD308" s="334" t="str" cm="1">
        <f t="array" ref="AD308">IF($C308&lt;&gt;"bitte wählen",INDEX(ListeLebensmittelIFEU,AD$189+1,$P308),"")</f>
        <v/>
      </c>
      <c r="AE308" s="334" t="str" cm="1">
        <f t="array" ref="AE308">IF($C308&lt;&gt;"bitte wählen",INDEX(ListeLebensmittelIFEU,AE$189+1,$P308),"")</f>
        <v/>
      </c>
      <c r="AF308" s="334" t="str" cm="1">
        <f t="array" ref="AF308">IF($C308&lt;&gt;"bitte wählen",INDEX(ListeLebensmittelIFEU,AF$189+1,$P308),"")</f>
        <v/>
      </c>
      <c r="AG308" s="334" t="str" cm="1">
        <f t="array" ref="AG308">IF($C308&lt;&gt;"bitte wählen",INDEX(ListeLebensmittelIFEU,AG$189+1,$P308),"")</f>
        <v/>
      </c>
      <c r="AH308" s="334" t="str" cm="1">
        <f t="array" ref="AH308">IF($C308&lt;&gt;"bitte wählen",INDEX(ListeLebensmittelIFEU,AH$189+1,$P308),"")</f>
        <v/>
      </c>
      <c r="AI308" s="334" t="str" cm="1">
        <f t="array" ref="AI308">IF($C308&lt;&gt;"bitte wählen",INDEX(ListeLebensmittelIFEU,AI$189+1,$P308),"")</f>
        <v/>
      </c>
      <c r="AJ308" s="334" t="str" cm="1">
        <f t="array" ref="AJ308">IF($C308&lt;&gt;"bitte wählen",INDEX(ListeLebensmittelIFEU,AJ$189+1,$P308),"")</f>
        <v/>
      </c>
      <c r="AK308" s="334" t="str" cm="1">
        <f t="array" ref="AK308">IF($C308&lt;&gt;"bitte wählen",INDEX(ListeLebensmittelIFEU,AK$189+1,$P308),"")</f>
        <v/>
      </c>
      <c r="AL308" s="334" t="str" cm="1">
        <f t="array" ref="AL308">IF($C308&lt;&gt;"bitte wählen",INDEX(ListeLebensmittelIFEU,AL$189+1,$P308),"")</f>
        <v/>
      </c>
      <c r="AM308" s="334" t="str" cm="1">
        <f t="array" ref="AM308">IF($C308&lt;&gt;"bitte wählen",INDEX(ListeLebensmittelIFEU,AM$189+1,$P308),"")</f>
        <v/>
      </c>
      <c r="AN308" s="334" t="str" cm="1">
        <f t="array" ref="AN308">IF($C308&lt;&gt;"bitte wählen",INDEX(ListeLebensmittelIFEU,AN$189+1,$P308),"")</f>
        <v/>
      </c>
      <c r="AO308" s="334" t="str" cm="1">
        <f t="array" ref="AO308">IF($C308&lt;&gt;"bitte wählen",INDEX(ListeLebensmittelIFEU,AO$189+1,$P308),"")</f>
        <v/>
      </c>
      <c r="AP308" s="334" t="str" cm="1">
        <f t="array" ref="AP308">IF($C308&lt;&gt;"bitte wählen",INDEX(ListeLebensmittelIFEU,AP$189+1,$P308),"")</f>
        <v/>
      </c>
      <c r="AQ308" s="334" t="str" cm="1">
        <f t="array" ref="AQ308">IF($C308&lt;&gt;"bitte wählen",INDEX(ListeLebensmittelIFEU,AQ$189+1,$P308),"")</f>
        <v/>
      </c>
      <c r="AR308" s="334" t="str" cm="1">
        <f t="array" ref="AR308">IF($C308&lt;&gt;"bitte wählen",INDEX(ListeLebensmittelIFEU,AR$189+1,$P308),"")</f>
        <v/>
      </c>
      <c r="AS308" s="334" t="str" cm="1">
        <f t="array" ref="AS308">IF($C308&lt;&gt;"bitte wählen",INDEX(ListeLebensmittelIFEU,AS$189+1,$P308),"")</f>
        <v/>
      </c>
      <c r="AT308" s="334" t="str" cm="1">
        <f t="array" ref="AT308">IF($C308&lt;&gt;"bitte wählen",INDEX(ListeLebensmittelIFEU,AT$189+1,$P308),"")</f>
        <v/>
      </c>
      <c r="AU308" s="334" t="str" cm="1">
        <f t="array" ref="AU308">IF($C308&lt;&gt;"bitte wählen",INDEX(ListeLebensmittelIFEU,AU$189+1,$P308),"")</f>
        <v/>
      </c>
      <c r="AV308" s="334" t="str" cm="1">
        <f t="array" ref="AV308">IF($C308&lt;&gt;"bitte wählen",INDEX(ListeLebensmittelIFEU,AV$189+1,$P308),"")</f>
        <v/>
      </c>
      <c r="AW308" s="334" t="str" cm="1">
        <f t="array" ref="AW308">IF($C308&lt;&gt;"bitte wählen",INDEX(ListeLebensmittelIFEU,AW$189+1,$P308),"")</f>
        <v/>
      </c>
      <c r="AX308" s="334" t="str" cm="1">
        <f t="array" ref="AX308">IF($C308&lt;&gt;"bitte wählen",INDEX(ListeLebensmittelIFEU,AX$189+1,$P308),"")</f>
        <v/>
      </c>
      <c r="AY308" s="334" t="str" cm="1">
        <f t="array" ref="AY308">IF($C308&lt;&gt;"bitte wählen",INDEX(ListeLebensmittelIFEU,AY$189+1,$P308),"")</f>
        <v/>
      </c>
      <c r="AZ308" s="335" t="str" cm="1">
        <f t="array" ref="AZ308">IF($C308&lt;&gt;"bitte wählen",INDEX(ListeLebensmittelIFEU,AZ$189+1,$P308),"")</f>
        <v/>
      </c>
    </row>
    <row r="309" spans="1:52" x14ac:dyDescent="0.3">
      <c r="B309" t="s">
        <v>328</v>
      </c>
      <c r="C309" s="471" t="s">
        <v>27</v>
      </c>
      <c r="D309" s="472"/>
      <c r="E309" s="349"/>
      <c r="F309" s="473" t="s">
        <v>12</v>
      </c>
      <c r="G309" s="350" t="str">
        <f t="shared" si="62"/>
        <v/>
      </c>
      <c r="H309" s="293" t="str">
        <f t="shared" si="63"/>
        <v/>
      </c>
      <c r="P309" s="333">
        <f t="shared" si="64"/>
        <v>22</v>
      </c>
      <c r="Q309" s="334" t="e">
        <f t="shared" si="67"/>
        <v>#N/A</v>
      </c>
      <c r="R309" s="359">
        <f t="shared" si="65"/>
        <v>0</v>
      </c>
      <c r="S309" s="380">
        <f t="shared" si="66"/>
        <v>0</v>
      </c>
      <c r="T309" s="333" t="str" cm="1">
        <f t="array" ref="T309">IF($C309&lt;&gt;"bitte wählen",INDEX(ListeLebensmittelIFEU,T$189+1,$P309),"")</f>
        <v/>
      </c>
      <c r="U309" s="334" t="str" cm="1">
        <f t="array" ref="U309">IF($C309&lt;&gt;"bitte wählen",INDEX(ListeLebensmittelIFEU,U$189+1,$P309),"")</f>
        <v/>
      </c>
      <c r="V309" s="334" t="str" cm="1">
        <f t="array" ref="V309">IF($C309&lt;&gt;"bitte wählen",INDEX(ListeLebensmittelIFEU,V$189+1,$P309),"")</f>
        <v/>
      </c>
      <c r="W309" s="334" t="str" cm="1">
        <f t="array" ref="W309">IF($C309&lt;&gt;"bitte wählen",INDEX(ListeLebensmittelIFEU,W$189+1,$P309),"")</f>
        <v/>
      </c>
      <c r="X309" s="334" t="str" cm="1">
        <f t="array" ref="X309">IF($C309&lt;&gt;"bitte wählen",INDEX(ListeLebensmittelIFEU,X$189+1,$P309),"")</f>
        <v/>
      </c>
      <c r="Y309" s="334" t="str" cm="1">
        <f t="array" ref="Y309">IF($C309&lt;&gt;"bitte wählen",INDEX(ListeLebensmittelIFEU,Y$189+1,$P309),"")</f>
        <v/>
      </c>
      <c r="Z309" s="334" t="str" cm="1">
        <f t="array" ref="Z309">IF($C309&lt;&gt;"bitte wählen",INDEX(ListeLebensmittelIFEU,Z$189+1,$P309),"")</f>
        <v/>
      </c>
      <c r="AA309" s="334" t="str" cm="1">
        <f t="array" ref="AA309">IF($C309&lt;&gt;"bitte wählen",INDEX(ListeLebensmittelIFEU,AA$189+1,$P309),"")</f>
        <v/>
      </c>
      <c r="AB309" s="334" t="str" cm="1">
        <f t="array" ref="AB309">IF($C309&lt;&gt;"bitte wählen",INDEX(ListeLebensmittelIFEU,AB$189+1,$P309),"")</f>
        <v/>
      </c>
      <c r="AC309" s="334" t="str" cm="1">
        <f t="array" ref="AC309">IF($C309&lt;&gt;"bitte wählen",INDEX(ListeLebensmittelIFEU,AC$189+1,$P309),"")</f>
        <v/>
      </c>
      <c r="AD309" s="334" t="str" cm="1">
        <f t="array" ref="AD309">IF($C309&lt;&gt;"bitte wählen",INDEX(ListeLebensmittelIFEU,AD$189+1,$P309),"")</f>
        <v/>
      </c>
      <c r="AE309" s="334" t="str" cm="1">
        <f t="array" ref="AE309">IF($C309&lt;&gt;"bitte wählen",INDEX(ListeLebensmittelIFEU,AE$189+1,$P309),"")</f>
        <v/>
      </c>
      <c r="AF309" s="334" t="str" cm="1">
        <f t="array" ref="AF309">IF($C309&lt;&gt;"bitte wählen",INDEX(ListeLebensmittelIFEU,AF$189+1,$P309),"")</f>
        <v/>
      </c>
      <c r="AG309" s="334" t="str" cm="1">
        <f t="array" ref="AG309">IF($C309&lt;&gt;"bitte wählen",INDEX(ListeLebensmittelIFEU,AG$189+1,$P309),"")</f>
        <v/>
      </c>
      <c r="AH309" s="334" t="str" cm="1">
        <f t="array" ref="AH309">IF($C309&lt;&gt;"bitte wählen",INDEX(ListeLebensmittelIFEU,AH$189+1,$P309),"")</f>
        <v/>
      </c>
      <c r="AI309" s="334" t="str" cm="1">
        <f t="array" ref="AI309">IF($C309&lt;&gt;"bitte wählen",INDEX(ListeLebensmittelIFEU,AI$189+1,$P309),"")</f>
        <v/>
      </c>
      <c r="AJ309" s="334" t="str" cm="1">
        <f t="array" ref="AJ309">IF($C309&lt;&gt;"bitte wählen",INDEX(ListeLebensmittelIFEU,AJ$189+1,$P309),"")</f>
        <v/>
      </c>
      <c r="AK309" s="334" t="str" cm="1">
        <f t="array" ref="AK309">IF($C309&lt;&gt;"bitte wählen",INDEX(ListeLebensmittelIFEU,AK$189+1,$P309),"")</f>
        <v/>
      </c>
      <c r="AL309" s="334" t="str" cm="1">
        <f t="array" ref="AL309">IF($C309&lt;&gt;"bitte wählen",INDEX(ListeLebensmittelIFEU,AL$189+1,$P309),"")</f>
        <v/>
      </c>
      <c r="AM309" s="334" t="str" cm="1">
        <f t="array" ref="AM309">IF($C309&lt;&gt;"bitte wählen",INDEX(ListeLebensmittelIFEU,AM$189+1,$P309),"")</f>
        <v/>
      </c>
      <c r="AN309" s="334" t="str" cm="1">
        <f t="array" ref="AN309">IF($C309&lt;&gt;"bitte wählen",INDEX(ListeLebensmittelIFEU,AN$189+1,$P309),"")</f>
        <v/>
      </c>
      <c r="AO309" s="334" t="str" cm="1">
        <f t="array" ref="AO309">IF($C309&lt;&gt;"bitte wählen",INDEX(ListeLebensmittelIFEU,AO$189+1,$P309),"")</f>
        <v/>
      </c>
      <c r="AP309" s="334" t="str" cm="1">
        <f t="array" ref="AP309">IF($C309&lt;&gt;"bitte wählen",INDEX(ListeLebensmittelIFEU,AP$189+1,$P309),"")</f>
        <v/>
      </c>
      <c r="AQ309" s="334" t="str" cm="1">
        <f t="array" ref="AQ309">IF($C309&lt;&gt;"bitte wählen",INDEX(ListeLebensmittelIFEU,AQ$189+1,$P309),"")</f>
        <v/>
      </c>
      <c r="AR309" s="334" t="str" cm="1">
        <f t="array" ref="AR309">IF($C309&lt;&gt;"bitte wählen",INDEX(ListeLebensmittelIFEU,AR$189+1,$P309),"")</f>
        <v/>
      </c>
      <c r="AS309" s="334" t="str" cm="1">
        <f t="array" ref="AS309">IF($C309&lt;&gt;"bitte wählen",INDEX(ListeLebensmittelIFEU,AS$189+1,$P309),"")</f>
        <v/>
      </c>
      <c r="AT309" s="334" t="str" cm="1">
        <f t="array" ref="AT309">IF($C309&lt;&gt;"bitte wählen",INDEX(ListeLebensmittelIFEU,AT$189+1,$P309),"")</f>
        <v/>
      </c>
      <c r="AU309" s="334" t="str" cm="1">
        <f t="array" ref="AU309">IF($C309&lt;&gt;"bitte wählen",INDEX(ListeLebensmittelIFEU,AU$189+1,$P309),"")</f>
        <v/>
      </c>
      <c r="AV309" s="334" t="str" cm="1">
        <f t="array" ref="AV309">IF($C309&lt;&gt;"bitte wählen",INDEX(ListeLebensmittelIFEU,AV$189+1,$P309),"")</f>
        <v/>
      </c>
      <c r="AW309" s="334" t="str" cm="1">
        <f t="array" ref="AW309">IF($C309&lt;&gt;"bitte wählen",INDEX(ListeLebensmittelIFEU,AW$189+1,$P309),"")</f>
        <v/>
      </c>
      <c r="AX309" s="334" t="str" cm="1">
        <f t="array" ref="AX309">IF($C309&lt;&gt;"bitte wählen",INDEX(ListeLebensmittelIFEU,AX$189+1,$P309),"")</f>
        <v/>
      </c>
      <c r="AY309" s="334" t="str" cm="1">
        <f t="array" ref="AY309">IF($C309&lt;&gt;"bitte wählen",INDEX(ListeLebensmittelIFEU,AY$189+1,$P309),"")</f>
        <v/>
      </c>
      <c r="AZ309" s="335" t="str" cm="1">
        <f t="array" ref="AZ309">IF($C309&lt;&gt;"bitte wählen",INDEX(ListeLebensmittelIFEU,AZ$189+1,$P309),"")</f>
        <v/>
      </c>
    </row>
    <row r="310" spans="1:52" x14ac:dyDescent="0.3">
      <c r="B310" t="s">
        <v>329</v>
      </c>
      <c r="C310" s="471" t="s">
        <v>27</v>
      </c>
      <c r="D310" s="472"/>
      <c r="E310" s="349"/>
      <c r="F310" s="473" t="s">
        <v>12</v>
      </c>
      <c r="G310" s="350" t="str">
        <f t="shared" si="62"/>
        <v/>
      </c>
      <c r="H310" s="293" t="str">
        <f t="shared" si="63"/>
        <v/>
      </c>
      <c r="P310" s="333">
        <f t="shared" si="64"/>
        <v>22</v>
      </c>
      <c r="Q310" s="334" t="e">
        <f t="shared" si="67"/>
        <v>#N/A</v>
      </c>
      <c r="R310" s="359">
        <f t="shared" si="65"/>
        <v>0</v>
      </c>
      <c r="S310" s="380">
        <f t="shared" si="66"/>
        <v>0</v>
      </c>
      <c r="T310" s="333" t="str" cm="1">
        <f t="array" ref="T310">IF($C310&lt;&gt;"bitte wählen",INDEX(ListeLebensmittelIFEU,T$189+1,$P310),"")</f>
        <v/>
      </c>
      <c r="U310" s="334" t="str" cm="1">
        <f t="array" ref="U310">IF($C310&lt;&gt;"bitte wählen",INDEX(ListeLebensmittelIFEU,U$189+1,$P310),"")</f>
        <v/>
      </c>
      <c r="V310" s="334" t="str" cm="1">
        <f t="array" ref="V310">IF($C310&lt;&gt;"bitte wählen",INDEX(ListeLebensmittelIFEU,V$189+1,$P310),"")</f>
        <v/>
      </c>
      <c r="W310" s="334" t="str" cm="1">
        <f t="array" ref="W310">IF($C310&lt;&gt;"bitte wählen",INDEX(ListeLebensmittelIFEU,W$189+1,$P310),"")</f>
        <v/>
      </c>
      <c r="X310" s="334" t="str" cm="1">
        <f t="array" ref="X310">IF($C310&lt;&gt;"bitte wählen",INDEX(ListeLebensmittelIFEU,X$189+1,$P310),"")</f>
        <v/>
      </c>
      <c r="Y310" s="334" t="str" cm="1">
        <f t="array" ref="Y310">IF($C310&lt;&gt;"bitte wählen",INDEX(ListeLebensmittelIFEU,Y$189+1,$P310),"")</f>
        <v/>
      </c>
      <c r="Z310" s="334" t="str" cm="1">
        <f t="array" ref="Z310">IF($C310&lt;&gt;"bitte wählen",INDEX(ListeLebensmittelIFEU,Z$189+1,$P310),"")</f>
        <v/>
      </c>
      <c r="AA310" s="334" t="str" cm="1">
        <f t="array" ref="AA310">IF($C310&lt;&gt;"bitte wählen",INDEX(ListeLebensmittelIFEU,AA$189+1,$P310),"")</f>
        <v/>
      </c>
      <c r="AB310" s="334" t="str" cm="1">
        <f t="array" ref="AB310">IF($C310&lt;&gt;"bitte wählen",INDEX(ListeLebensmittelIFEU,AB$189+1,$P310),"")</f>
        <v/>
      </c>
      <c r="AC310" s="334" t="str" cm="1">
        <f t="array" ref="AC310">IF($C310&lt;&gt;"bitte wählen",INDEX(ListeLebensmittelIFEU,AC$189+1,$P310),"")</f>
        <v/>
      </c>
      <c r="AD310" s="334" t="str" cm="1">
        <f t="array" ref="AD310">IF($C310&lt;&gt;"bitte wählen",INDEX(ListeLebensmittelIFEU,AD$189+1,$P310),"")</f>
        <v/>
      </c>
      <c r="AE310" s="334" t="str" cm="1">
        <f t="array" ref="AE310">IF($C310&lt;&gt;"bitte wählen",INDEX(ListeLebensmittelIFEU,AE$189+1,$P310),"")</f>
        <v/>
      </c>
      <c r="AF310" s="334" t="str" cm="1">
        <f t="array" ref="AF310">IF($C310&lt;&gt;"bitte wählen",INDEX(ListeLebensmittelIFEU,AF$189+1,$P310),"")</f>
        <v/>
      </c>
      <c r="AG310" s="334" t="str" cm="1">
        <f t="array" ref="AG310">IF($C310&lt;&gt;"bitte wählen",INDEX(ListeLebensmittelIFEU,AG$189+1,$P310),"")</f>
        <v/>
      </c>
      <c r="AH310" s="334" t="str" cm="1">
        <f t="array" ref="AH310">IF($C310&lt;&gt;"bitte wählen",INDEX(ListeLebensmittelIFEU,AH$189+1,$P310),"")</f>
        <v/>
      </c>
      <c r="AI310" s="334" t="str" cm="1">
        <f t="array" ref="AI310">IF($C310&lt;&gt;"bitte wählen",INDEX(ListeLebensmittelIFEU,AI$189+1,$P310),"")</f>
        <v/>
      </c>
      <c r="AJ310" s="334" t="str" cm="1">
        <f t="array" ref="AJ310">IF($C310&lt;&gt;"bitte wählen",INDEX(ListeLebensmittelIFEU,AJ$189+1,$P310),"")</f>
        <v/>
      </c>
      <c r="AK310" s="334" t="str" cm="1">
        <f t="array" ref="AK310">IF($C310&lt;&gt;"bitte wählen",INDEX(ListeLebensmittelIFEU,AK$189+1,$P310),"")</f>
        <v/>
      </c>
      <c r="AL310" s="334" t="str" cm="1">
        <f t="array" ref="AL310">IF($C310&lt;&gt;"bitte wählen",INDEX(ListeLebensmittelIFEU,AL$189+1,$P310),"")</f>
        <v/>
      </c>
      <c r="AM310" s="334" t="str" cm="1">
        <f t="array" ref="AM310">IF($C310&lt;&gt;"bitte wählen",INDEX(ListeLebensmittelIFEU,AM$189+1,$P310),"")</f>
        <v/>
      </c>
      <c r="AN310" s="334" t="str" cm="1">
        <f t="array" ref="AN310">IF($C310&lt;&gt;"bitte wählen",INDEX(ListeLebensmittelIFEU,AN$189+1,$P310),"")</f>
        <v/>
      </c>
      <c r="AO310" s="334" t="str" cm="1">
        <f t="array" ref="AO310">IF($C310&lt;&gt;"bitte wählen",INDEX(ListeLebensmittelIFEU,AO$189+1,$P310),"")</f>
        <v/>
      </c>
      <c r="AP310" s="334" t="str" cm="1">
        <f t="array" ref="AP310">IF($C310&lt;&gt;"bitte wählen",INDEX(ListeLebensmittelIFEU,AP$189+1,$P310),"")</f>
        <v/>
      </c>
      <c r="AQ310" s="334" t="str" cm="1">
        <f t="array" ref="AQ310">IF($C310&lt;&gt;"bitte wählen",INDEX(ListeLebensmittelIFEU,AQ$189+1,$P310),"")</f>
        <v/>
      </c>
      <c r="AR310" s="334" t="str" cm="1">
        <f t="array" ref="AR310">IF($C310&lt;&gt;"bitte wählen",INDEX(ListeLebensmittelIFEU,AR$189+1,$P310),"")</f>
        <v/>
      </c>
      <c r="AS310" s="334" t="str" cm="1">
        <f t="array" ref="AS310">IF($C310&lt;&gt;"bitte wählen",INDEX(ListeLebensmittelIFEU,AS$189+1,$P310),"")</f>
        <v/>
      </c>
      <c r="AT310" s="334" t="str" cm="1">
        <f t="array" ref="AT310">IF($C310&lt;&gt;"bitte wählen",INDEX(ListeLebensmittelIFEU,AT$189+1,$P310),"")</f>
        <v/>
      </c>
      <c r="AU310" s="334" t="str" cm="1">
        <f t="array" ref="AU310">IF($C310&lt;&gt;"bitte wählen",INDEX(ListeLebensmittelIFEU,AU$189+1,$P310),"")</f>
        <v/>
      </c>
      <c r="AV310" s="334" t="str" cm="1">
        <f t="array" ref="AV310">IF($C310&lt;&gt;"bitte wählen",INDEX(ListeLebensmittelIFEU,AV$189+1,$P310),"")</f>
        <v/>
      </c>
      <c r="AW310" s="334" t="str" cm="1">
        <f t="array" ref="AW310">IF($C310&lt;&gt;"bitte wählen",INDEX(ListeLebensmittelIFEU,AW$189+1,$P310),"")</f>
        <v/>
      </c>
      <c r="AX310" s="334" t="str" cm="1">
        <f t="array" ref="AX310">IF($C310&lt;&gt;"bitte wählen",INDEX(ListeLebensmittelIFEU,AX$189+1,$P310),"")</f>
        <v/>
      </c>
      <c r="AY310" s="334" t="str" cm="1">
        <f t="array" ref="AY310">IF($C310&lt;&gt;"bitte wählen",INDEX(ListeLebensmittelIFEU,AY$189+1,$P310),"")</f>
        <v/>
      </c>
      <c r="AZ310" s="335" t="str" cm="1">
        <f t="array" ref="AZ310">IF($C310&lt;&gt;"bitte wählen",INDEX(ListeLebensmittelIFEU,AZ$189+1,$P310),"")</f>
        <v/>
      </c>
    </row>
    <row r="311" spans="1:52" x14ac:dyDescent="0.3">
      <c r="B311" t="s">
        <v>330</v>
      </c>
      <c r="C311" s="471" t="s">
        <v>27</v>
      </c>
      <c r="D311" s="472"/>
      <c r="E311" s="349"/>
      <c r="F311" s="473" t="s">
        <v>12</v>
      </c>
      <c r="G311" s="350" t="str">
        <f t="shared" si="62"/>
        <v/>
      </c>
      <c r="H311" s="293" t="str">
        <f t="shared" si="63"/>
        <v/>
      </c>
      <c r="P311" s="333">
        <f t="shared" si="64"/>
        <v>22</v>
      </c>
      <c r="Q311" s="334" t="e">
        <f t="shared" si="67"/>
        <v>#N/A</v>
      </c>
      <c r="R311" s="359">
        <f t="shared" si="65"/>
        <v>0</v>
      </c>
      <c r="S311" s="380">
        <f t="shared" si="66"/>
        <v>0</v>
      </c>
      <c r="T311" s="333" t="str" cm="1">
        <f t="array" ref="T311">IF($C311&lt;&gt;"bitte wählen",INDEX(ListeLebensmittelIFEU,T$189+1,$P311),"")</f>
        <v/>
      </c>
      <c r="U311" s="334" t="str" cm="1">
        <f t="array" ref="U311">IF($C311&lt;&gt;"bitte wählen",INDEX(ListeLebensmittelIFEU,U$189+1,$P311),"")</f>
        <v/>
      </c>
      <c r="V311" s="334" t="str" cm="1">
        <f t="array" ref="V311">IF($C311&lt;&gt;"bitte wählen",INDEX(ListeLebensmittelIFEU,V$189+1,$P311),"")</f>
        <v/>
      </c>
      <c r="W311" s="334" t="str" cm="1">
        <f t="array" ref="W311">IF($C311&lt;&gt;"bitte wählen",INDEX(ListeLebensmittelIFEU,W$189+1,$P311),"")</f>
        <v/>
      </c>
      <c r="X311" s="334" t="str" cm="1">
        <f t="array" ref="X311">IF($C311&lt;&gt;"bitte wählen",INDEX(ListeLebensmittelIFEU,X$189+1,$P311),"")</f>
        <v/>
      </c>
      <c r="Y311" s="334" t="str" cm="1">
        <f t="array" ref="Y311">IF($C311&lt;&gt;"bitte wählen",INDEX(ListeLebensmittelIFEU,Y$189+1,$P311),"")</f>
        <v/>
      </c>
      <c r="Z311" s="334" t="str" cm="1">
        <f t="array" ref="Z311">IF($C311&lt;&gt;"bitte wählen",INDEX(ListeLebensmittelIFEU,Z$189+1,$P311),"")</f>
        <v/>
      </c>
      <c r="AA311" s="334" t="str" cm="1">
        <f t="array" ref="AA311">IF($C311&lt;&gt;"bitte wählen",INDEX(ListeLebensmittelIFEU,AA$189+1,$P311),"")</f>
        <v/>
      </c>
      <c r="AB311" s="334" t="str" cm="1">
        <f t="array" ref="AB311">IF($C311&lt;&gt;"bitte wählen",INDEX(ListeLebensmittelIFEU,AB$189+1,$P311),"")</f>
        <v/>
      </c>
      <c r="AC311" s="334" t="str" cm="1">
        <f t="array" ref="AC311">IF($C311&lt;&gt;"bitte wählen",INDEX(ListeLebensmittelIFEU,AC$189+1,$P311),"")</f>
        <v/>
      </c>
      <c r="AD311" s="334" t="str" cm="1">
        <f t="array" ref="AD311">IF($C311&lt;&gt;"bitte wählen",INDEX(ListeLebensmittelIFEU,AD$189+1,$P311),"")</f>
        <v/>
      </c>
      <c r="AE311" s="334" t="str" cm="1">
        <f t="array" ref="AE311">IF($C311&lt;&gt;"bitte wählen",INDEX(ListeLebensmittelIFEU,AE$189+1,$P311),"")</f>
        <v/>
      </c>
      <c r="AF311" s="334" t="str" cm="1">
        <f t="array" ref="AF311">IF($C311&lt;&gt;"bitte wählen",INDEX(ListeLebensmittelIFEU,AF$189+1,$P311),"")</f>
        <v/>
      </c>
      <c r="AG311" s="334" t="str" cm="1">
        <f t="array" ref="AG311">IF($C311&lt;&gt;"bitte wählen",INDEX(ListeLebensmittelIFEU,AG$189+1,$P311),"")</f>
        <v/>
      </c>
      <c r="AH311" s="334" t="str" cm="1">
        <f t="array" ref="AH311">IF($C311&lt;&gt;"bitte wählen",INDEX(ListeLebensmittelIFEU,AH$189+1,$P311),"")</f>
        <v/>
      </c>
      <c r="AI311" s="334" t="str" cm="1">
        <f t="array" ref="AI311">IF($C311&lt;&gt;"bitte wählen",INDEX(ListeLebensmittelIFEU,AI$189+1,$P311),"")</f>
        <v/>
      </c>
      <c r="AJ311" s="334" t="str" cm="1">
        <f t="array" ref="AJ311">IF($C311&lt;&gt;"bitte wählen",INDEX(ListeLebensmittelIFEU,AJ$189+1,$P311),"")</f>
        <v/>
      </c>
      <c r="AK311" s="334" t="str" cm="1">
        <f t="array" ref="AK311">IF($C311&lt;&gt;"bitte wählen",INDEX(ListeLebensmittelIFEU,AK$189+1,$P311),"")</f>
        <v/>
      </c>
      <c r="AL311" s="334" t="str" cm="1">
        <f t="array" ref="AL311">IF($C311&lt;&gt;"bitte wählen",INDEX(ListeLebensmittelIFEU,AL$189+1,$P311),"")</f>
        <v/>
      </c>
      <c r="AM311" s="334" t="str" cm="1">
        <f t="array" ref="AM311">IF($C311&lt;&gt;"bitte wählen",INDEX(ListeLebensmittelIFEU,AM$189+1,$P311),"")</f>
        <v/>
      </c>
      <c r="AN311" s="334" t="str" cm="1">
        <f t="array" ref="AN311">IF($C311&lt;&gt;"bitte wählen",INDEX(ListeLebensmittelIFEU,AN$189+1,$P311),"")</f>
        <v/>
      </c>
      <c r="AO311" s="334" t="str" cm="1">
        <f t="array" ref="AO311">IF($C311&lt;&gt;"bitte wählen",INDEX(ListeLebensmittelIFEU,AO$189+1,$P311),"")</f>
        <v/>
      </c>
      <c r="AP311" s="334" t="str" cm="1">
        <f t="array" ref="AP311">IF($C311&lt;&gt;"bitte wählen",INDEX(ListeLebensmittelIFEU,AP$189+1,$P311),"")</f>
        <v/>
      </c>
      <c r="AQ311" s="334" t="str" cm="1">
        <f t="array" ref="AQ311">IF($C311&lt;&gt;"bitte wählen",INDEX(ListeLebensmittelIFEU,AQ$189+1,$P311),"")</f>
        <v/>
      </c>
      <c r="AR311" s="334" t="str" cm="1">
        <f t="array" ref="AR311">IF($C311&lt;&gt;"bitte wählen",INDEX(ListeLebensmittelIFEU,AR$189+1,$P311),"")</f>
        <v/>
      </c>
      <c r="AS311" s="334" t="str" cm="1">
        <f t="array" ref="AS311">IF($C311&lt;&gt;"bitte wählen",INDEX(ListeLebensmittelIFEU,AS$189+1,$P311),"")</f>
        <v/>
      </c>
      <c r="AT311" s="334" t="str" cm="1">
        <f t="array" ref="AT311">IF($C311&lt;&gt;"bitte wählen",INDEX(ListeLebensmittelIFEU,AT$189+1,$P311),"")</f>
        <v/>
      </c>
      <c r="AU311" s="334" t="str" cm="1">
        <f t="array" ref="AU311">IF($C311&lt;&gt;"bitte wählen",INDEX(ListeLebensmittelIFEU,AU$189+1,$P311),"")</f>
        <v/>
      </c>
      <c r="AV311" s="334" t="str" cm="1">
        <f t="array" ref="AV311">IF($C311&lt;&gt;"bitte wählen",INDEX(ListeLebensmittelIFEU,AV$189+1,$P311),"")</f>
        <v/>
      </c>
      <c r="AW311" s="334" t="str" cm="1">
        <f t="array" ref="AW311">IF($C311&lt;&gt;"bitte wählen",INDEX(ListeLebensmittelIFEU,AW$189+1,$P311),"")</f>
        <v/>
      </c>
      <c r="AX311" s="334" t="str" cm="1">
        <f t="array" ref="AX311">IF($C311&lt;&gt;"bitte wählen",INDEX(ListeLebensmittelIFEU,AX$189+1,$P311),"")</f>
        <v/>
      </c>
      <c r="AY311" s="334" t="str" cm="1">
        <f t="array" ref="AY311">IF($C311&lt;&gt;"bitte wählen",INDEX(ListeLebensmittelIFEU,AY$189+1,$P311),"")</f>
        <v/>
      </c>
      <c r="AZ311" s="335" t="str" cm="1">
        <f t="array" ref="AZ311">IF($C311&lt;&gt;"bitte wählen",INDEX(ListeLebensmittelIFEU,AZ$189+1,$P311),"")</f>
        <v/>
      </c>
    </row>
    <row r="312" spans="1:52" x14ac:dyDescent="0.3">
      <c r="B312" t="s">
        <v>398</v>
      </c>
      <c r="C312" s="471" t="s">
        <v>27</v>
      </c>
      <c r="D312" s="472"/>
      <c r="E312" s="349"/>
      <c r="F312" s="473" t="s">
        <v>12</v>
      </c>
      <c r="G312" s="350" t="str">
        <f t="shared" si="62"/>
        <v/>
      </c>
      <c r="H312" s="293" t="str">
        <f t="shared" si="63"/>
        <v/>
      </c>
      <c r="P312" s="336">
        <f t="shared" si="64"/>
        <v>22</v>
      </c>
      <c r="Q312" s="337" t="e">
        <f t="shared" si="67"/>
        <v>#N/A</v>
      </c>
      <c r="R312" s="360">
        <f t="shared" si="65"/>
        <v>0</v>
      </c>
      <c r="S312" s="381">
        <f t="shared" si="66"/>
        <v>0</v>
      </c>
      <c r="T312" s="336" t="str" cm="1">
        <f t="array" ref="T312">IF($C312&lt;&gt;"bitte wählen",INDEX(ListeLebensmittelIFEU,T$189+1,$P312),"")</f>
        <v/>
      </c>
      <c r="U312" s="337" t="str" cm="1">
        <f t="array" ref="U312">IF($C312&lt;&gt;"bitte wählen",INDEX(ListeLebensmittelIFEU,U$189+1,$P312),"")</f>
        <v/>
      </c>
      <c r="V312" s="337" t="str" cm="1">
        <f t="array" ref="V312">IF($C312&lt;&gt;"bitte wählen",INDEX(ListeLebensmittelIFEU,V$189+1,$P312),"")</f>
        <v/>
      </c>
      <c r="W312" s="337" t="str" cm="1">
        <f t="array" ref="W312">IF($C312&lt;&gt;"bitte wählen",INDEX(ListeLebensmittelIFEU,W$189+1,$P312),"")</f>
        <v/>
      </c>
      <c r="X312" s="337" t="str" cm="1">
        <f t="array" ref="X312">IF($C312&lt;&gt;"bitte wählen",INDEX(ListeLebensmittelIFEU,X$189+1,$P312),"")</f>
        <v/>
      </c>
      <c r="Y312" s="337" t="str" cm="1">
        <f t="array" ref="Y312">IF($C312&lt;&gt;"bitte wählen",INDEX(ListeLebensmittelIFEU,Y$189+1,$P312),"")</f>
        <v/>
      </c>
      <c r="Z312" s="337" t="str" cm="1">
        <f t="array" ref="Z312">IF($C312&lt;&gt;"bitte wählen",INDEX(ListeLebensmittelIFEU,Z$189+1,$P312),"")</f>
        <v/>
      </c>
      <c r="AA312" s="337" t="str" cm="1">
        <f t="array" ref="AA312">IF($C312&lt;&gt;"bitte wählen",INDEX(ListeLebensmittelIFEU,AA$189+1,$P312),"")</f>
        <v/>
      </c>
      <c r="AB312" s="337" t="str" cm="1">
        <f t="array" ref="AB312">IF($C312&lt;&gt;"bitte wählen",INDEX(ListeLebensmittelIFEU,AB$189+1,$P312),"")</f>
        <v/>
      </c>
      <c r="AC312" s="337" t="str" cm="1">
        <f t="array" ref="AC312">IF($C312&lt;&gt;"bitte wählen",INDEX(ListeLebensmittelIFEU,AC$189+1,$P312),"")</f>
        <v/>
      </c>
      <c r="AD312" s="337" t="str" cm="1">
        <f t="array" ref="AD312">IF($C312&lt;&gt;"bitte wählen",INDEX(ListeLebensmittelIFEU,AD$189+1,$P312),"")</f>
        <v/>
      </c>
      <c r="AE312" s="337" t="str" cm="1">
        <f t="array" ref="AE312">IF($C312&lt;&gt;"bitte wählen",INDEX(ListeLebensmittelIFEU,AE$189+1,$P312),"")</f>
        <v/>
      </c>
      <c r="AF312" s="337" t="str" cm="1">
        <f t="array" ref="AF312">IF($C312&lt;&gt;"bitte wählen",INDEX(ListeLebensmittelIFEU,AF$189+1,$P312),"")</f>
        <v/>
      </c>
      <c r="AG312" s="337" t="str" cm="1">
        <f t="array" ref="AG312">IF($C312&lt;&gt;"bitte wählen",INDEX(ListeLebensmittelIFEU,AG$189+1,$P312),"")</f>
        <v/>
      </c>
      <c r="AH312" s="337" t="str" cm="1">
        <f t="array" ref="AH312">IF($C312&lt;&gt;"bitte wählen",INDEX(ListeLebensmittelIFEU,AH$189+1,$P312),"")</f>
        <v/>
      </c>
      <c r="AI312" s="337" t="str" cm="1">
        <f t="array" ref="AI312">IF($C312&lt;&gt;"bitte wählen",INDEX(ListeLebensmittelIFEU,AI$189+1,$P312),"")</f>
        <v/>
      </c>
      <c r="AJ312" s="337" t="str" cm="1">
        <f t="array" ref="AJ312">IF($C312&lt;&gt;"bitte wählen",INDEX(ListeLebensmittelIFEU,AJ$189+1,$P312),"")</f>
        <v/>
      </c>
      <c r="AK312" s="337" t="str" cm="1">
        <f t="array" ref="AK312">IF($C312&lt;&gt;"bitte wählen",INDEX(ListeLebensmittelIFEU,AK$189+1,$P312),"")</f>
        <v/>
      </c>
      <c r="AL312" s="337" t="str" cm="1">
        <f t="array" ref="AL312">IF($C312&lt;&gt;"bitte wählen",INDEX(ListeLebensmittelIFEU,AL$189+1,$P312),"")</f>
        <v/>
      </c>
      <c r="AM312" s="337" t="str" cm="1">
        <f t="array" ref="AM312">IF($C312&lt;&gt;"bitte wählen",INDEX(ListeLebensmittelIFEU,AM$189+1,$P312),"")</f>
        <v/>
      </c>
      <c r="AN312" s="337" t="str" cm="1">
        <f t="array" ref="AN312">IF($C312&lt;&gt;"bitte wählen",INDEX(ListeLebensmittelIFEU,AN$189+1,$P312),"")</f>
        <v/>
      </c>
      <c r="AO312" s="337" t="str" cm="1">
        <f t="array" ref="AO312">IF($C312&lt;&gt;"bitte wählen",INDEX(ListeLebensmittelIFEU,AO$189+1,$P312),"")</f>
        <v/>
      </c>
      <c r="AP312" s="337" t="str" cm="1">
        <f t="array" ref="AP312">IF($C312&lt;&gt;"bitte wählen",INDEX(ListeLebensmittelIFEU,AP$189+1,$P312),"")</f>
        <v/>
      </c>
      <c r="AQ312" s="337" t="str" cm="1">
        <f t="array" ref="AQ312">IF($C312&lt;&gt;"bitte wählen",INDEX(ListeLebensmittelIFEU,AQ$189+1,$P312),"")</f>
        <v/>
      </c>
      <c r="AR312" s="337" t="str" cm="1">
        <f t="array" ref="AR312">IF($C312&lt;&gt;"bitte wählen",INDEX(ListeLebensmittelIFEU,AR$189+1,$P312),"")</f>
        <v/>
      </c>
      <c r="AS312" s="337" t="str" cm="1">
        <f t="array" ref="AS312">IF($C312&lt;&gt;"bitte wählen",INDEX(ListeLebensmittelIFEU,AS$189+1,$P312),"")</f>
        <v/>
      </c>
      <c r="AT312" s="337" t="str" cm="1">
        <f t="array" ref="AT312">IF($C312&lt;&gt;"bitte wählen",INDEX(ListeLebensmittelIFEU,AT$189+1,$P312),"")</f>
        <v/>
      </c>
      <c r="AU312" s="337" t="str" cm="1">
        <f t="array" ref="AU312">IF($C312&lt;&gt;"bitte wählen",INDEX(ListeLebensmittelIFEU,AU$189+1,$P312),"")</f>
        <v/>
      </c>
      <c r="AV312" s="337" t="str" cm="1">
        <f t="array" ref="AV312">IF($C312&lt;&gt;"bitte wählen",INDEX(ListeLebensmittelIFEU,AV$189+1,$P312),"")</f>
        <v/>
      </c>
      <c r="AW312" s="337" t="str" cm="1">
        <f t="array" ref="AW312">IF($C312&lt;&gt;"bitte wählen",INDEX(ListeLebensmittelIFEU,AW$189+1,$P312),"")</f>
        <v/>
      </c>
      <c r="AX312" s="337" t="str" cm="1">
        <f t="array" ref="AX312">IF($C312&lt;&gt;"bitte wählen",INDEX(ListeLebensmittelIFEU,AX$189+1,$P312),"")</f>
        <v/>
      </c>
      <c r="AY312" s="337" t="str" cm="1">
        <f t="array" ref="AY312">IF($C312&lt;&gt;"bitte wählen",INDEX(ListeLebensmittelIFEU,AY$189+1,$P312),"")</f>
        <v/>
      </c>
      <c r="AZ312" s="338" t="str" cm="1">
        <f t="array" ref="AZ312">IF($C312&lt;&gt;"bitte wählen",INDEX(ListeLebensmittelIFEU,AZ$189+1,$P312),"")</f>
        <v/>
      </c>
    </row>
    <row r="313" spans="1:52" x14ac:dyDescent="0.3">
      <c r="B313" s="105" t="str">
        <f>IF(R313,IF(E313/IF(D305="",1,D305)&lt;GewichtMittagessenMin,"Hinweis: Dies scheint eine relativ kleine Portion zu sein",IF(E313/IF(D305="",1,D305)&gt;GewichtMittagessenMax,"Hinweis: Dies scheint eine relativ große Portion zu sein","")),"")</f>
        <v/>
      </c>
      <c r="C313" s="78"/>
      <c r="D313" s="78"/>
      <c r="E313" s="355">
        <f>SUM(E307:E312)-SUMIF(C307:C312,"Getränke",E307:E312)</f>
        <v>0</v>
      </c>
      <c r="G313" s="15" t="s">
        <v>622</v>
      </c>
      <c r="H313" s="293">
        <f>SUM(H307:H312)</f>
        <v>0</v>
      </c>
      <c r="Q313" s="383" t="s">
        <v>1030</v>
      </c>
      <c r="R313" s="386" t="b">
        <f>IF(SUM(R307:R312)&gt;0,TRUE,FALSE)</f>
        <v>0</v>
      </c>
      <c r="S313" s="383">
        <f>SUM(S307:S312)</f>
        <v>0</v>
      </c>
      <c r="T313" s="383" t="s">
        <v>1029</v>
      </c>
      <c r="U313" s="383" t="str">
        <f>IF(R313,IF(S313&gt;9,10,IF(S313&gt;0,1,0)),"")</f>
        <v/>
      </c>
    </row>
    <row r="314" spans="1:52" x14ac:dyDescent="0.3">
      <c r="B314" s="385" t="str">
        <f>IF(U313=0,"🌱 vegan","")</f>
        <v/>
      </c>
      <c r="C314" s="105" t="str">
        <f>IF(U313=1,"Ⓥ vegetarisch","")</f>
        <v/>
      </c>
      <c r="D314" s="384" t="str">
        <f>IF(U313=10,"🥩 mit Fleisch/Fisch","")</f>
        <v/>
      </c>
      <c r="E314" s="78"/>
      <c r="G314" s="15" t="s">
        <v>623</v>
      </c>
      <c r="H314" s="294">
        <f>IF(D305="",H313,H313/D305)</f>
        <v>0</v>
      </c>
    </row>
    <row r="315" spans="1:52" x14ac:dyDescent="0.3">
      <c r="T315" s="84"/>
    </row>
    <row r="316" spans="1:52" ht="18" thickBot="1" x14ac:dyDescent="0.4">
      <c r="B316" s="496" t="str">
        <f>"CO₂-Bilanz Gericht 11: "&amp;D317</f>
        <v>CO₂-Bilanz Gericht 11: Menü 11</v>
      </c>
      <c r="C316" s="496"/>
      <c r="D316" s="496"/>
      <c r="E316" s="496"/>
      <c r="T316" s="84"/>
    </row>
    <row r="317" spans="1:52" ht="15" thickTop="1" x14ac:dyDescent="0.3">
      <c r="B317" t="s">
        <v>994</v>
      </c>
      <c r="D317" s="288" t="s">
        <v>1003</v>
      </c>
      <c r="F317" s="78"/>
      <c r="G317" s="78"/>
      <c r="H317" s="78"/>
      <c r="I317" s="78"/>
    </row>
    <row r="318" spans="1:52" x14ac:dyDescent="0.3">
      <c r="B318" t="s">
        <v>995</v>
      </c>
      <c r="C318" s="78"/>
      <c r="D318" s="291">
        <v>1</v>
      </c>
      <c r="E318" s="301" t="str">
        <f>IF(ISNUMBER(FIND("g",_xlfn.CONCAT(E320:E325))),"Bitte Menge als reine Zahl ohne Zusatz g eingeben","")</f>
        <v/>
      </c>
      <c r="G318" s="78"/>
      <c r="H318" s="78"/>
      <c r="T318" s="329" t="s">
        <v>918</v>
      </c>
      <c r="U318" s="330"/>
      <c r="V318" s="330"/>
      <c r="W318" s="330"/>
      <c r="X318" s="330"/>
      <c r="Y318" s="330"/>
    </row>
    <row r="319" spans="1:52" ht="44.4" x14ac:dyDescent="0.35">
      <c r="A319" s="376" t="s">
        <v>1217</v>
      </c>
      <c r="C319" s="297" t="s">
        <v>993</v>
      </c>
      <c r="D319" s="313" t="s">
        <v>992</v>
      </c>
      <c r="E319" s="298" t="s">
        <v>323</v>
      </c>
      <c r="F319" s="298" t="s">
        <v>324</v>
      </c>
      <c r="G319" s="296" t="s">
        <v>534</v>
      </c>
      <c r="H319" s="296" t="s">
        <v>535</v>
      </c>
      <c r="P319" s="356" t="s">
        <v>956</v>
      </c>
      <c r="Q319" s="356" t="s">
        <v>957</v>
      </c>
      <c r="R319" s="357" t="s">
        <v>958</v>
      </c>
      <c r="S319" s="357" t="s">
        <v>1028</v>
      </c>
      <c r="T319" s="361">
        <v>1</v>
      </c>
      <c r="U319" s="362">
        <v>2</v>
      </c>
      <c r="V319" s="362">
        <v>3</v>
      </c>
      <c r="W319" s="362">
        <v>4</v>
      </c>
      <c r="X319" s="362">
        <v>5</v>
      </c>
      <c r="Y319" s="362">
        <v>6</v>
      </c>
      <c r="Z319" s="362">
        <v>7</v>
      </c>
      <c r="AA319" s="362">
        <v>8</v>
      </c>
      <c r="AB319" s="362">
        <v>9</v>
      </c>
      <c r="AC319" s="362">
        <v>10</v>
      </c>
      <c r="AD319" s="362">
        <v>11</v>
      </c>
      <c r="AE319" s="362">
        <v>12</v>
      </c>
      <c r="AF319" s="362">
        <v>13</v>
      </c>
      <c r="AG319" s="362">
        <v>14</v>
      </c>
      <c r="AH319" s="362">
        <v>15</v>
      </c>
      <c r="AI319" s="362">
        <v>16</v>
      </c>
      <c r="AJ319" s="362">
        <v>17</v>
      </c>
      <c r="AK319" s="362">
        <v>18</v>
      </c>
      <c r="AL319" s="362">
        <v>19</v>
      </c>
      <c r="AM319" s="362">
        <v>20</v>
      </c>
      <c r="AN319" s="362">
        <v>21</v>
      </c>
      <c r="AO319" s="362">
        <v>22</v>
      </c>
      <c r="AP319" s="362">
        <v>23</v>
      </c>
      <c r="AQ319" s="362">
        <v>24</v>
      </c>
      <c r="AR319" s="362">
        <v>25</v>
      </c>
      <c r="AS319" s="362">
        <v>26</v>
      </c>
      <c r="AT319" s="362">
        <v>27</v>
      </c>
      <c r="AU319" s="362">
        <v>28</v>
      </c>
      <c r="AV319" s="362">
        <v>29</v>
      </c>
      <c r="AW319" s="362">
        <v>30</v>
      </c>
      <c r="AX319" s="362">
        <v>31</v>
      </c>
      <c r="AY319" s="362">
        <v>32</v>
      </c>
      <c r="AZ319" s="363">
        <v>33</v>
      </c>
    </row>
    <row r="320" spans="1:52" x14ac:dyDescent="0.3">
      <c r="B320" t="s">
        <v>13</v>
      </c>
      <c r="C320" s="471" t="s">
        <v>27</v>
      </c>
      <c r="D320" s="472"/>
      <c r="E320" s="470"/>
      <c r="F320" s="473" t="s">
        <v>12</v>
      </c>
      <c r="G320" s="350" t="str">
        <f t="shared" ref="G320:G325" si="68">IF(D320="","",R320*IF(F320="Ja",FaktorBeiLokalemProdukt,1))</f>
        <v/>
      </c>
      <c r="H320" s="293" t="str">
        <f t="shared" ref="H320:H325" si="69">IF(D320="","",E320*G320)</f>
        <v/>
      </c>
      <c r="P320" s="331">
        <f t="shared" ref="P320:P325" si="70">VLOOKUP(C320,$C$457:$D$464,2,FALSE)</f>
        <v>22</v>
      </c>
      <c r="Q320" s="332" t="e">
        <f>MATCH(D320,T320:AZ320,0)</f>
        <v>#N/A</v>
      </c>
      <c r="R320" s="358">
        <f t="shared" ref="R320:R325" si="71">_xlfn.IFNA(IF(D320&lt;&gt;"",VLOOKUP(D320,$C$544:$E$774,2,FALSE),0),0)</f>
        <v>0</v>
      </c>
      <c r="S320" s="358">
        <f t="shared" ref="S320:S325" si="72">_xlfn.IFNA(IF(D320&lt;&gt;"",VLOOKUP(D320,$C$544:$E$774,3,FALSE),0),0)</f>
        <v>0</v>
      </c>
      <c r="T320" s="333" t="str" cm="1">
        <f t="array" ref="T320">IF($C320&lt;&gt;"bitte wählen",INDEX(ListeLebensmittelIFEU,T$189+1,$P320),"")</f>
        <v/>
      </c>
      <c r="U320" s="334" t="str" cm="1">
        <f t="array" ref="U320">IF($C320&lt;&gt;"bitte wählen",INDEX(ListeLebensmittelIFEU,U$189+1,$P320),"")</f>
        <v/>
      </c>
      <c r="V320" s="334" t="str" cm="1">
        <f t="array" ref="V320">IF($C320&lt;&gt;"bitte wählen",INDEX(ListeLebensmittelIFEU,V$189+1,$P320),"")</f>
        <v/>
      </c>
      <c r="W320" s="334" t="str" cm="1">
        <f t="array" ref="W320">IF($C320&lt;&gt;"bitte wählen",INDEX(ListeLebensmittelIFEU,W$189+1,$P320),"")</f>
        <v/>
      </c>
      <c r="X320" s="334" t="str" cm="1">
        <f t="array" ref="X320">IF($C320&lt;&gt;"bitte wählen",INDEX(ListeLebensmittelIFEU,X$189+1,$P320),"")</f>
        <v/>
      </c>
      <c r="Y320" s="334" t="str" cm="1">
        <f t="array" ref="Y320">IF($C320&lt;&gt;"bitte wählen",INDEX(ListeLebensmittelIFEU,Y$189+1,$P320),"")</f>
        <v/>
      </c>
      <c r="Z320" s="334" t="str" cm="1">
        <f t="array" ref="Z320">IF($C320&lt;&gt;"bitte wählen",INDEX(ListeLebensmittelIFEU,Z$189+1,$P320),"")</f>
        <v/>
      </c>
      <c r="AA320" s="334" t="str" cm="1">
        <f t="array" ref="AA320">IF($C320&lt;&gt;"bitte wählen",INDEX(ListeLebensmittelIFEU,AA$189+1,$P320),"")</f>
        <v/>
      </c>
      <c r="AB320" s="334" t="str" cm="1">
        <f t="array" ref="AB320">IF($C320&lt;&gt;"bitte wählen",INDEX(ListeLebensmittelIFEU,AB$189+1,$P320),"")</f>
        <v/>
      </c>
      <c r="AC320" s="334" t="str" cm="1">
        <f t="array" ref="AC320">IF($C320&lt;&gt;"bitte wählen",INDEX(ListeLebensmittelIFEU,AC$189+1,$P320),"")</f>
        <v/>
      </c>
      <c r="AD320" s="334" t="str" cm="1">
        <f t="array" ref="AD320">IF($C320&lt;&gt;"bitte wählen",INDEX(ListeLebensmittelIFEU,AD$189+1,$P320),"")</f>
        <v/>
      </c>
      <c r="AE320" s="334" t="str" cm="1">
        <f t="array" ref="AE320">IF($C320&lt;&gt;"bitte wählen",INDEX(ListeLebensmittelIFEU,AE$189+1,$P320),"")</f>
        <v/>
      </c>
      <c r="AF320" s="334" t="str" cm="1">
        <f t="array" ref="AF320">IF($C320&lt;&gt;"bitte wählen",INDEX(ListeLebensmittelIFEU,AF$189+1,$P320),"")</f>
        <v/>
      </c>
      <c r="AG320" s="334" t="str" cm="1">
        <f t="array" ref="AG320">IF($C320&lt;&gt;"bitte wählen",INDEX(ListeLebensmittelIFEU,AG$189+1,$P320),"")</f>
        <v/>
      </c>
      <c r="AH320" s="334" t="str" cm="1">
        <f t="array" ref="AH320">IF($C320&lt;&gt;"bitte wählen",INDEX(ListeLebensmittelIFEU,AH$189+1,$P320),"")</f>
        <v/>
      </c>
      <c r="AI320" s="334" t="str" cm="1">
        <f t="array" ref="AI320">IF($C320&lt;&gt;"bitte wählen",INDEX(ListeLebensmittelIFEU,AI$189+1,$P320),"")</f>
        <v/>
      </c>
      <c r="AJ320" s="334" t="str" cm="1">
        <f t="array" ref="AJ320">IF($C320&lt;&gt;"bitte wählen",INDEX(ListeLebensmittelIFEU,AJ$189+1,$P320),"")</f>
        <v/>
      </c>
      <c r="AK320" s="334" t="str" cm="1">
        <f t="array" ref="AK320">IF($C320&lt;&gt;"bitte wählen",INDEX(ListeLebensmittelIFEU,AK$189+1,$P320),"")</f>
        <v/>
      </c>
      <c r="AL320" s="334" t="str" cm="1">
        <f t="array" ref="AL320">IF($C320&lt;&gt;"bitte wählen",INDEX(ListeLebensmittelIFEU,AL$189+1,$P320),"")</f>
        <v/>
      </c>
      <c r="AM320" s="334" t="str" cm="1">
        <f t="array" ref="AM320">IF($C320&lt;&gt;"bitte wählen",INDEX(ListeLebensmittelIFEU,AM$189+1,$P320),"")</f>
        <v/>
      </c>
      <c r="AN320" s="334" t="str" cm="1">
        <f t="array" ref="AN320">IF($C320&lt;&gt;"bitte wählen",INDEX(ListeLebensmittelIFEU,AN$189+1,$P320),"")</f>
        <v/>
      </c>
      <c r="AO320" s="334" t="str" cm="1">
        <f t="array" ref="AO320">IF($C320&lt;&gt;"bitte wählen",INDEX(ListeLebensmittelIFEU,AO$189+1,$P320),"")</f>
        <v/>
      </c>
      <c r="AP320" s="334" t="str" cm="1">
        <f t="array" ref="AP320">IF($C320&lt;&gt;"bitte wählen",INDEX(ListeLebensmittelIFEU,AP$189+1,$P320),"")</f>
        <v/>
      </c>
      <c r="AQ320" s="334" t="str" cm="1">
        <f t="array" ref="AQ320">IF($C320&lt;&gt;"bitte wählen",INDEX(ListeLebensmittelIFEU,AQ$189+1,$P320),"")</f>
        <v/>
      </c>
      <c r="AR320" s="334" t="str" cm="1">
        <f t="array" ref="AR320">IF($C320&lt;&gt;"bitte wählen",INDEX(ListeLebensmittelIFEU,AR$189+1,$P320),"")</f>
        <v/>
      </c>
      <c r="AS320" s="334" t="str" cm="1">
        <f t="array" ref="AS320">IF($C320&lt;&gt;"bitte wählen",INDEX(ListeLebensmittelIFEU,AS$189+1,$P320),"")</f>
        <v/>
      </c>
      <c r="AT320" s="334" t="str" cm="1">
        <f t="array" ref="AT320">IF($C320&lt;&gt;"bitte wählen",INDEX(ListeLebensmittelIFEU,AT$189+1,$P320),"")</f>
        <v/>
      </c>
      <c r="AU320" s="334" t="str" cm="1">
        <f t="array" ref="AU320">IF($C320&lt;&gt;"bitte wählen",INDEX(ListeLebensmittelIFEU,AU$189+1,$P320),"")</f>
        <v/>
      </c>
      <c r="AV320" s="334" t="str" cm="1">
        <f t="array" ref="AV320">IF($C320&lt;&gt;"bitte wählen",INDEX(ListeLebensmittelIFEU,AV$189+1,$P320),"")</f>
        <v/>
      </c>
      <c r="AW320" s="334" t="str" cm="1">
        <f t="array" ref="AW320">IF($C320&lt;&gt;"bitte wählen",INDEX(ListeLebensmittelIFEU,AW$189+1,$P320),"")</f>
        <v/>
      </c>
      <c r="AX320" s="334" t="str" cm="1">
        <f t="array" ref="AX320">IF($C320&lt;&gt;"bitte wählen",INDEX(ListeLebensmittelIFEU,AX$189+1,$P320),"")</f>
        <v/>
      </c>
      <c r="AY320" s="334" t="str" cm="1">
        <f t="array" ref="AY320">IF($C320&lt;&gt;"bitte wählen",INDEX(ListeLebensmittelIFEU,AY$189+1,$P320),"")</f>
        <v/>
      </c>
      <c r="AZ320" s="335" t="str" cm="1">
        <f t="array" ref="AZ320">IF($C320&lt;&gt;"bitte wählen",INDEX(ListeLebensmittelIFEU,AZ$189+1,$P320),"")</f>
        <v/>
      </c>
    </row>
    <row r="321" spans="1:52" x14ac:dyDescent="0.3">
      <c r="B321" t="s">
        <v>327</v>
      </c>
      <c r="C321" s="471" t="s">
        <v>27</v>
      </c>
      <c r="D321" s="472"/>
      <c r="E321" s="349"/>
      <c r="F321" s="473" t="s">
        <v>12</v>
      </c>
      <c r="G321" s="350" t="str">
        <f t="shared" si="68"/>
        <v/>
      </c>
      <c r="H321" s="293" t="str">
        <f t="shared" si="69"/>
        <v/>
      </c>
      <c r="P321" s="333">
        <f t="shared" si="70"/>
        <v>22</v>
      </c>
      <c r="Q321" s="334" t="e">
        <f t="shared" ref="Q321:Q325" si="73">MATCH(D321,T321:AZ321,0)</f>
        <v>#N/A</v>
      </c>
      <c r="R321" s="359">
        <f t="shared" si="71"/>
        <v>0</v>
      </c>
      <c r="S321" s="380">
        <f t="shared" si="72"/>
        <v>0</v>
      </c>
      <c r="T321" s="333" t="str" cm="1">
        <f t="array" ref="T321">IF($C321&lt;&gt;"bitte wählen",INDEX(ListeLebensmittelIFEU,T$189+1,$P321),"")</f>
        <v/>
      </c>
      <c r="U321" s="334" t="str" cm="1">
        <f t="array" ref="U321">IF($C321&lt;&gt;"bitte wählen",INDEX(ListeLebensmittelIFEU,U$189+1,$P321),"")</f>
        <v/>
      </c>
      <c r="V321" s="334" t="str" cm="1">
        <f t="array" ref="V321">IF($C321&lt;&gt;"bitte wählen",INDEX(ListeLebensmittelIFEU,V$189+1,$P321),"")</f>
        <v/>
      </c>
      <c r="W321" s="334" t="str" cm="1">
        <f t="array" ref="W321">IF($C321&lt;&gt;"bitte wählen",INDEX(ListeLebensmittelIFEU,W$189+1,$P321),"")</f>
        <v/>
      </c>
      <c r="X321" s="334" t="str" cm="1">
        <f t="array" ref="X321">IF($C321&lt;&gt;"bitte wählen",INDEX(ListeLebensmittelIFEU,X$189+1,$P321),"")</f>
        <v/>
      </c>
      <c r="Y321" s="334" t="str" cm="1">
        <f t="array" ref="Y321">IF($C321&lt;&gt;"bitte wählen",INDEX(ListeLebensmittelIFEU,Y$189+1,$P321),"")</f>
        <v/>
      </c>
      <c r="Z321" s="334" t="str" cm="1">
        <f t="array" ref="Z321">IF($C321&lt;&gt;"bitte wählen",INDEX(ListeLebensmittelIFEU,Z$189+1,$P321),"")</f>
        <v/>
      </c>
      <c r="AA321" s="334" t="str" cm="1">
        <f t="array" ref="AA321">IF($C321&lt;&gt;"bitte wählen",INDEX(ListeLebensmittelIFEU,AA$189+1,$P321),"")</f>
        <v/>
      </c>
      <c r="AB321" s="334" t="str" cm="1">
        <f t="array" ref="AB321">IF($C321&lt;&gt;"bitte wählen",INDEX(ListeLebensmittelIFEU,AB$189+1,$P321),"")</f>
        <v/>
      </c>
      <c r="AC321" s="334" t="str" cm="1">
        <f t="array" ref="AC321">IF($C321&lt;&gt;"bitte wählen",INDEX(ListeLebensmittelIFEU,AC$189+1,$P321),"")</f>
        <v/>
      </c>
      <c r="AD321" s="334" t="str" cm="1">
        <f t="array" ref="AD321">IF($C321&lt;&gt;"bitte wählen",INDEX(ListeLebensmittelIFEU,AD$189+1,$P321),"")</f>
        <v/>
      </c>
      <c r="AE321" s="334" t="str" cm="1">
        <f t="array" ref="AE321">IF($C321&lt;&gt;"bitte wählen",INDEX(ListeLebensmittelIFEU,AE$189+1,$P321),"")</f>
        <v/>
      </c>
      <c r="AF321" s="334" t="str" cm="1">
        <f t="array" ref="AF321">IF($C321&lt;&gt;"bitte wählen",INDEX(ListeLebensmittelIFEU,AF$189+1,$P321),"")</f>
        <v/>
      </c>
      <c r="AG321" s="334" t="str" cm="1">
        <f t="array" ref="AG321">IF($C321&lt;&gt;"bitte wählen",INDEX(ListeLebensmittelIFEU,AG$189+1,$P321),"")</f>
        <v/>
      </c>
      <c r="AH321" s="334" t="str" cm="1">
        <f t="array" ref="AH321">IF($C321&lt;&gt;"bitte wählen",INDEX(ListeLebensmittelIFEU,AH$189+1,$P321),"")</f>
        <v/>
      </c>
      <c r="AI321" s="334" t="str" cm="1">
        <f t="array" ref="AI321">IF($C321&lt;&gt;"bitte wählen",INDEX(ListeLebensmittelIFEU,AI$189+1,$P321),"")</f>
        <v/>
      </c>
      <c r="AJ321" s="334" t="str" cm="1">
        <f t="array" ref="AJ321">IF($C321&lt;&gt;"bitte wählen",INDEX(ListeLebensmittelIFEU,AJ$189+1,$P321),"")</f>
        <v/>
      </c>
      <c r="AK321" s="334" t="str" cm="1">
        <f t="array" ref="AK321">IF($C321&lt;&gt;"bitte wählen",INDEX(ListeLebensmittelIFEU,AK$189+1,$P321),"")</f>
        <v/>
      </c>
      <c r="AL321" s="334" t="str" cm="1">
        <f t="array" ref="AL321">IF($C321&lt;&gt;"bitte wählen",INDEX(ListeLebensmittelIFEU,AL$189+1,$P321),"")</f>
        <v/>
      </c>
      <c r="AM321" s="334" t="str" cm="1">
        <f t="array" ref="AM321">IF($C321&lt;&gt;"bitte wählen",INDEX(ListeLebensmittelIFEU,AM$189+1,$P321),"")</f>
        <v/>
      </c>
      <c r="AN321" s="334" t="str" cm="1">
        <f t="array" ref="AN321">IF($C321&lt;&gt;"bitte wählen",INDEX(ListeLebensmittelIFEU,AN$189+1,$P321),"")</f>
        <v/>
      </c>
      <c r="AO321" s="334" t="str" cm="1">
        <f t="array" ref="AO321">IF($C321&lt;&gt;"bitte wählen",INDEX(ListeLebensmittelIFEU,AO$189+1,$P321),"")</f>
        <v/>
      </c>
      <c r="AP321" s="334" t="str" cm="1">
        <f t="array" ref="AP321">IF($C321&lt;&gt;"bitte wählen",INDEX(ListeLebensmittelIFEU,AP$189+1,$P321),"")</f>
        <v/>
      </c>
      <c r="AQ321" s="334" t="str" cm="1">
        <f t="array" ref="AQ321">IF($C321&lt;&gt;"bitte wählen",INDEX(ListeLebensmittelIFEU,AQ$189+1,$P321),"")</f>
        <v/>
      </c>
      <c r="AR321" s="334" t="str" cm="1">
        <f t="array" ref="AR321">IF($C321&lt;&gt;"bitte wählen",INDEX(ListeLebensmittelIFEU,AR$189+1,$P321),"")</f>
        <v/>
      </c>
      <c r="AS321" s="334" t="str" cm="1">
        <f t="array" ref="AS321">IF($C321&lt;&gt;"bitte wählen",INDEX(ListeLebensmittelIFEU,AS$189+1,$P321),"")</f>
        <v/>
      </c>
      <c r="AT321" s="334" t="str" cm="1">
        <f t="array" ref="AT321">IF($C321&lt;&gt;"bitte wählen",INDEX(ListeLebensmittelIFEU,AT$189+1,$P321),"")</f>
        <v/>
      </c>
      <c r="AU321" s="334" t="str" cm="1">
        <f t="array" ref="AU321">IF($C321&lt;&gt;"bitte wählen",INDEX(ListeLebensmittelIFEU,AU$189+1,$P321),"")</f>
        <v/>
      </c>
      <c r="AV321" s="334" t="str" cm="1">
        <f t="array" ref="AV321">IF($C321&lt;&gt;"bitte wählen",INDEX(ListeLebensmittelIFEU,AV$189+1,$P321),"")</f>
        <v/>
      </c>
      <c r="AW321" s="334" t="str" cm="1">
        <f t="array" ref="AW321">IF($C321&lt;&gt;"bitte wählen",INDEX(ListeLebensmittelIFEU,AW$189+1,$P321),"")</f>
        <v/>
      </c>
      <c r="AX321" s="334" t="str" cm="1">
        <f t="array" ref="AX321">IF($C321&lt;&gt;"bitte wählen",INDEX(ListeLebensmittelIFEU,AX$189+1,$P321),"")</f>
        <v/>
      </c>
      <c r="AY321" s="334" t="str" cm="1">
        <f t="array" ref="AY321">IF($C321&lt;&gt;"bitte wählen",INDEX(ListeLebensmittelIFEU,AY$189+1,$P321),"")</f>
        <v/>
      </c>
      <c r="AZ321" s="335" t="str" cm="1">
        <f t="array" ref="AZ321">IF($C321&lt;&gt;"bitte wählen",INDEX(ListeLebensmittelIFEU,AZ$189+1,$P321),"")</f>
        <v/>
      </c>
    </row>
    <row r="322" spans="1:52" x14ac:dyDescent="0.3">
      <c r="B322" t="s">
        <v>328</v>
      </c>
      <c r="C322" s="471" t="s">
        <v>27</v>
      </c>
      <c r="D322" s="472"/>
      <c r="E322" s="349"/>
      <c r="F322" s="473" t="s">
        <v>12</v>
      </c>
      <c r="G322" s="350" t="str">
        <f t="shared" si="68"/>
        <v/>
      </c>
      <c r="H322" s="293" t="str">
        <f t="shared" si="69"/>
        <v/>
      </c>
      <c r="P322" s="333">
        <f t="shared" si="70"/>
        <v>22</v>
      </c>
      <c r="Q322" s="334" t="e">
        <f t="shared" si="73"/>
        <v>#N/A</v>
      </c>
      <c r="R322" s="359">
        <f t="shared" si="71"/>
        <v>0</v>
      </c>
      <c r="S322" s="380">
        <f t="shared" si="72"/>
        <v>0</v>
      </c>
      <c r="T322" s="333" t="str" cm="1">
        <f t="array" ref="T322">IF($C322&lt;&gt;"bitte wählen",INDEX(ListeLebensmittelIFEU,T$189+1,$P322),"")</f>
        <v/>
      </c>
      <c r="U322" s="334" t="str" cm="1">
        <f t="array" ref="U322">IF($C322&lt;&gt;"bitte wählen",INDEX(ListeLebensmittelIFEU,U$189+1,$P322),"")</f>
        <v/>
      </c>
      <c r="V322" s="334" t="str" cm="1">
        <f t="array" ref="V322">IF($C322&lt;&gt;"bitte wählen",INDEX(ListeLebensmittelIFEU,V$189+1,$P322),"")</f>
        <v/>
      </c>
      <c r="W322" s="334" t="str" cm="1">
        <f t="array" ref="W322">IF($C322&lt;&gt;"bitte wählen",INDEX(ListeLebensmittelIFEU,W$189+1,$P322),"")</f>
        <v/>
      </c>
      <c r="X322" s="334" t="str" cm="1">
        <f t="array" ref="X322">IF($C322&lt;&gt;"bitte wählen",INDEX(ListeLebensmittelIFEU,X$189+1,$P322),"")</f>
        <v/>
      </c>
      <c r="Y322" s="334" t="str" cm="1">
        <f t="array" ref="Y322">IF($C322&lt;&gt;"bitte wählen",INDEX(ListeLebensmittelIFEU,Y$189+1,$P322),"")</f>
        <v/>
      </c>
      <c r="Z322" s="334" t="str" cm="1">
        <f t="array" ref="Z322">IF($C322&lt;&gt;"bitte wählen",INDEX(ListeLebensmittelIFEU,Z$189+1,$P322),"")</f>
        <v/>
      </c>
      <c r="AA322" s="334" t="str" cm="1">
        <f t="array" ref="AA322">IF($C322&lt;&gt;"bitte wählen",INDEX(ListeLebensmittelIFEU,AA$189+1,$P322),"")</f>
        <v/>
      </c>
      <c r="AB322" s="334" t="str" cm="1">
        <f t="array" ref="AB322">IF($C322&lt;&gt;"bitte wählen",INDEX(ListeLebensmittelIFEU,AB$189+1,$P322),"")</f>
        <v/>
      </c>
      <c r="AC322" s="334" t="str" cm="1">
        <f t="array" ref="AC322">IF($C322&lt;&gt;"bitte wählen",INDEX(ListeLebensmittelIFEU,AC$189+1,$P322),"")</f>
        <v/>
      </c>
      <c r="AD322" s="334" t="str" cm="1">
        <f t="array" ref="AD322">IF($C322&lt;&gt;"bitte wählen",INDEX(ListeLebensmittelIFEU,AD$189+1,$P322),"")</f>
        <v/>
      </c>
      <c r="AE322" s="334" t="str" cm="1">
        <f t="array" ref="AE322">IF($C322&lt;&gt;"bitte wählen",INDEX(ListeLebensmittelIFEU,AE$189+1,$P322),"")</f>
        <v/>
      </c>
      <c r="AF322" s="334" t="str" cm="1">
        <f t="array" ref="AF322">IF($C322&lt;&gt;"bitte wählen",INDEX(ListeLebensmittelIFEU,AF$189+1,$P322),"")</f>
        <v/>
      </c>
      <c r="AG322" s="334" t="str" cm="1">
        <f t="array" ref="AG322">IF($C322&lt;&gt;"bitte wählen",INDEX(ListeLebensmittelIFEU,AG$189+1,$P322),"")</f>
        <v/>
      </c>
      <c r="AH322" s="334" t="str" cm="1">
        <f t="array" ref="AH322">IF($C322&lt;&gt;"bitte wählen",INDEX(ListeLebensmittelIFEU,AH$189+1,$P322),"")</f>
        <v/>
      </c>
      <c r="AI322" s="334" t="str" cm="1">
        <f t="array" ref="AI322">IF($C322&lt;&gt;"bitte wählen",INDEX(ListeLebensmittelIFEU,AI$189+1,$P322),"")</f>
        <v/>
      </c>
      <c r="AJ322" s="334" t="str" cm="1">
        <f t="array" ref="AJ322">IF($C322&lt;&gt;"bitte wählen",INDEX(ListeLebensmittelIFEU,AJ$189+1,$P322),"")</f>
        <v/>
      </c>
      <c r="AK322" s="334" t="str" cm="1">
        <f t="array" ref="AK322">IF($C322&lt;&gt;"bitte wählen",INDEX(ListeLebensmittelIFEU,AK$189+1,$P322),"")</f>
        <v/>
      </c>
      <c r="AL322" s="334" t="str" cm="1">
        <f t="array" ref="AL322">IF($C322&lt;&gt;"bitte wählen",INDEX(ListeLebensmittelIFEU,AL$189+1,$P322),"")</f>
        <v/>
      </c>
      <c r="AM322" s="334" t="str" cm="1">
        <f t="array" ref="AM322">IF($C322&lt;&gt;"bitte wählen",INDEX(ListeLebensmittelIFEU,AM$189+1,$P322),"")</f>
        <v/>
      </c>
      <c r="AN322" s="334" t="str" cm="1">
        <f t="array" ref="AN322">IF($C322&lt;&gt;"bitte wählen",INDEX(ListeLebensmittelIFEU,AN$189+1,$P322),"")</f>
        <v/>
      </c>
      <c r="AO322" s="334" t="str" cm="1">
        <f t="array" ref="AO322">IF($C322&lt;&gt;"bitte wählen",INDEX(ListeLebensmittelIFEU,AO$189+1,$P322),"")</f>
        <v/>
      </c>
      <c r="AP322" s="334" t="str" cm="1">
        <f t="array" ref="AP322">IF($C322&lt;&gt;"bitte wählen",INDEX(ListeLebensmittelIFEU,AP$189+1,$P322),"")</f>
        <v/>
      </c>
      <c r="AQ322" s="334" t="str" cm="1">
        <f t="array" ref="AQ322">IF($C322&lt;&gt;"bitte wählen",INDEX(ListeLebensmittelIFEU,AQ$189+1,$P322),"")</f>
        <v/>
      </c>
      <c r="AR322" s="334" t="str" cm="1">
        <f t="array" ref="AR322">IF($C322&lt;&gt;"bitte wählen",INDEX(ListeLebensmittelIFEU,AR$189+1,$P322),"")</f>
        <v/>
      </c>
      <c r="AS322" s="334" t="str" cm="1">
        <f t="array" ref="AS322">IF($C322&lt;&gt;"bitte wählen",INDEX(ListeLebensmittelIFEU,AS$189+1,$P322),"")</f>
        <v/>
      </c>
      <c r="AT322" s="334" t="str" cm="1">
        <f t="array" ref="AT322">IF($C322&lt;&gt;"bitte wählen",INDEX(ListeLebensmittelIFEU,AT$189+1,$P322),"")</f>
        <v/>
      </c>
      <c r="AU322" s="334" t="str" cm="1">
        <f t="array" ref="AU322">IF($C322&lt;&gt;"bitte wählen",INDEX(ListeLebensmittelIFEU,AU$189+1,$P322),"")</f>
        <v/>
      </c>
      <c r="AV322" s="334" t="str" cm="1">
        <f t="array" ref="AV322">IF($C322&lt;&gt;"bitte wählen",INDEX(ListeLebensmittelIFEU,AV$189+1,$P322),"")</f>
        <v/>
      </c>
      <c r="AW322" s="334" t="str" cm="1">
        <f t="array" ref="AW322">IF($C322&lt;&gt;"bitte wählen",INDEX(ListeLebensmittelIFEU,AW$189+1,$P322),"")</f>
        <v/>
      </c>
      <c r="AX322" s="334" t="str" cm="1">
        <f t="array" ref="AX322">IF($C322&lt;&gt;"bitte wählen",INDEX(ListeLebensmittelIFEU,AX$189+1,$P322),"")</f>
        <v/>
      </c>
      <c r="AY322" s="334" t="str" cm="1">
        <f t="array" ref="AY322">IF($C322&lt;&gt;"bitte wählen",INDEX(ListeLebensmittelIFEU,AY$189+1,$P322),"")</f>
        <v/>
      </c>
      <c r="AZ322" s="335" t="str" cm="1">
        <f t="array" ref="AZ322">IF($C322&lt;&gt;"bitte wählen",INDEX(ListeLebensmittelIFEU,AZ$189+1,$P322),"")</f>
        <v/>
      </c>
    </row>
    <row r="323" spans="1:52" x14ac:dyDescent="0.3">
      <c r="B323" t="s">
        <v>329</v>
      </c>
      <c r="C323" s="471" t="s">
        <v>27</v>
      </c>
      <c r="D323" s="472"/>
      <c r="E323" s="349"/>
      <c r="F323" s="473" t="s">
        <v>12</v>
      </c>
      <c r="G323" s="350" t="str">
        <f t="shared" si="68"/>
        <v/>
      </c>
      <c r="H323" s="293" t="str">
        <f t="shared" si="69"/>
        <v/>
      </c>
      <c r="P323" s="333">
        <f t="shared" si="70"/>
        <v>22</v>
      </c>
      <c r="Q323" s="334" t="e">
        <f t="shared" si="73"/>
        <v>#N/A</v>
      </c>
      <c r="R323" s="359">
        <f t="shared" si="71"/>
        <v>0</v>
      </c>
      <c r="S323" s="380">
        <f t="shared" si="72"/>
        <v>0</v>
      </c>
      <c r="T323" s="333" t="str" cm="1">
        <f t="array" ref="T323">IF($C323&lt;&gt;"bitte wählen",INDEX(ListeLebensmittelIFEU,T$189+1,$P323),"")</f>
        <v/>
      </c>
      <c r="U323" s="334" t="str" cm="1">
        <f t="array" ref="U323">IF($C323&lt;&gt;"bitte wählen",INDEX(ListeLebensmittelIFEU,U$189+1,$P323),"")</f>
        <v/>
      </c>
      <c r="V323" s="334" t="str" cm="1">
        <f t="array" ref="V323">IF($C323&lt;&gt;"bitte wählen",INDEX(ListeLebensmittelIFEU,V$189+1,$P323),"")</f>
        <v/>
      </c>
      <c r="W323" s="334" t="str" cm="1">
        <f t="array" ref="W323">IF($C323&lt;&gt;"bitte wählen",INDEX(ListeLebensmittelIFEU,W$189+1,$P323),"")</f>
        <v/>
      </c>
      <c r="X323" s="334" t="str" cm="1">
        <f t="array" ref="X323">IF($C323&lt;&gt;"bitte wählen",INDEX(ListeLebensmittelIFEU,X$189+1,$P323),"")</f>
        <v/>
      </c>
      <c r="Y323" s="334" t="str" cm="1">
        <f t="array" ref="Y323">IF($C323&lt;&gt;"bitte wählen",INDEX(ListeLebensmittelIFEU,Y$189+1,$P323),"")</f>
        <v/>
      </c>
      <c r="Z323" s="334" t="str" cm="1">
        <f t="array" ref="Z323">IF($C323&lt;&gt;"bitte wählen",INDEX(ListeLebensmittelIFEU,Z$189+1,$P323),"")</f>
        <v/>
      </c>
      <c r="AA323" s="334" t="str" cm="1">
        <f t="array" ref="AA323">IF($C323&lt;&gt;"bitte wählen",INDEX(ListeLebensmittelIFEU,AA$189+1,$P323),"")</f>
        <v/>
      </c>
      <c r="AB323" s="334" t="str" cm="1">
        <f t="array" ref="AB323">IF($C323&lt;&gt;"bitte wählen",INDEX(ListeLebensmittelIFEU,AB$189+1,$P323),"")</f>
        <v/>
      </c>
      <c r="AC323" s="334" t="str" cm="1">
        <f t="array" ref="AC323">IF($C323&lt;&gt;"bitte wählen",INDEX(ListeLebensmittelIFEU,AC$189+1,$P323),"")</f>
        <v/>
      </c>
      <c r="AD323" s="334" t="str" cm="1">
        <f t="array" ref="AD323">IF($C323&lt;&gt;"bitte wählen",INDEX(ListeLebensmittelIFEU,AD$189+1,$P323),"")</f>
        <v/>
      </c>
      <c r="AE323" s="334" t="str" cm="1">
        <f t="array" ref="AE323">IF($C323&lt;&gt;"bitte wählen",INDEX(ListeLebensmittelIFEU,AE$189+1,$P323),"")</f>
        <v/>
      </c>
      <c r="AF323" s="334" t="str" cm="1">
        <f t="array" ref="AF323">IF($C323&lt;&gt;"bitte wählen",INDEX(ListeLebensmittelIFEU,AF$189+1,$P323),"")</f>
        <v/>
      </c>
      <c r="AG323" s="334" t="str" cm="1">
        <f t="array" ref="AG323">IF($C323&lt;&gt;"bitte wählen",INDEX(ListeLebensmittelIFEU,AG$189+1,$P323),"")</f>
        <v/>
      </c>
      <c r="AH323" s="334" t="str" cm="1">
        <f t="array" ref="AH323">IF($C323&lt;&gt;"bitte wählen",INDEX(ListeLebensmittelIFEU,AH$189+1,$P323),"")</f>
        <v/>
      </c>
      <c r="AI323" s="334" t="str" cm="1">
        <f t="array" ref="AI323">IF($C323&lt;&gt;"bitte wählen",INDEX(ListeLebensmittelIFEU,AI$189+1,$P323),"")</f>
        <v/>
      </c>
      <c r="AJ323" s="334" t="str" cm="1">
        <f t="array" ref="AJ323">IF($C323&lt;&gt;"bitte wählen",INDEX(ListeLebensmittelIFEU,AJ$189+1,$P323),"")</f>
        <v/>
      </c>
      <c r="AK323" s="334" t="str" cm="1">
        <f t="array" ref="AK323">IF($C323&lt;&gt;"bitte wählen",INDEX(ListeLebensmittelIFEU,AK$189+1,$P323),"")</f>
        <v/>
      </c>
      <c r="AL323" s="334" t="str" cm="1">
        <f t="array" ref="AL323">IF($C323&lt;&gt;"bitte wählen",INDEX(ListeLebensmittelIFEU,AL$189+1,$P323),"")</f>
        <v/>
      </c>
      <c r="AM323" s="334" t="str" cm="1">
        <f t="array" ref="AM323">IF($C323&lt;&gt;"bitte wählen",INDEX(ListeLebensmittelIFEU,AM$189+1,$P323),"")</f>
        <v/>
      </c>
      <c r="AN323" s="334" t="str" cm="1">
        <f t="array" ref="AN323">IF($C323&lt;&gt;"bitte wählen",INDEX(ListeLebensmittelIFEU,AN$189+1,$P323),"")</f>
        <v/>
      </c>
      <c r="AO323" s="334" t="str" cm="1">
        <f t="array" ref="AO323">IF($C323&lt;&gt;"bitte wählen",INDEX(ListeLebensmittelIFEU,AO$189+1,$P323),"")</f>
        <v/>
      </c>
      <c r="AP323" s="334" t="str" cm="1">
        <f t="array" ref="AP323">IF($C323&lt;&gt;"bitte wählen",INDEX(ListeLebensmittelIFEU,AP$189+1,$P323),"")</f>
        <v/>
      </c>
      <c r="AQ323" s="334" t="str" cm="1">
        <f t="array" ref="AQ323">IF($C323&lt;&gt;"bitte wählen",INDEX(ListeLebensmittelIFEU,AQ$189+1,$P323),"")</f>
        <v/>
      </c>
      <c r="AR323" s="334" t="str" cm="1">
        <f t="array" ref="AR323">IF($C323&lt;&gt;"bitte wählen",INDEX(ListeLebensmittelIFEU,AR$189+1,$P323),"")</f>
        <v/>
      </c>
      <c r="AS323" s="334" t="str" cm="1">
        <f t="array" ref="AS323">IF($C323&lt;&gt;"bitte wählen",INDEX(ListeLebensmittelIFEU,AS$189+1,$P323),"")</f>
        <v/>
      </c>
      <c r="AT323" s="334" t="str" cm="1">
        <f t="array" ref="AT323">IF($C323&lt;&gt;"bitte wählen",INDEX(ListeLebensmittelIFEU,AT$189+1,$P323),"")</f>
        <v/>
      </c>
      <c r="AU323" s="334" t="str" cm="1">
        <f t="array" ref="AU323">IF($C323&lt;&gt;"bitte wählen",INDEX(ListeLebensmittelIFEU,AU$189+1,$P323),"")</f>
        <v/>
      </c>
      <c r="AV323" s="334" t="str" cm="1">
        <f t="array" ref="AV323">IF($C323&lt;&gt;"bitte wählen",INDEX(ListeLebensmittelIFEU,AV$189+1,$P323),"")</f>
        <v/>
      </c>
      <c r="AW323" s="334" t="str" cm="1">
        <f t="array" ref="AW323">IF($C323&lt;&gt;"bitte wählen",INDEX(ListeLebensmittelIFEU,AW$189+1,$P323),"")</f>
        <v/>
      </c>
      <c r="AX323" s="334" t="str" cm="1">
        <f t="array" ref="AX323">IF($C323&lt;&gt;"bitte wählen",INDEX(ListeLebensmittelIFEU,AX$189+1,$P323),"")</f>
        <v/>
      </c>
      <c r="AY323" s="334" t="str" cm="1">
        <f t="array" ref="AY323">IF($C323&lt;&gt;"bitte wählen",INDEX(ListeLebensmittelIFEU,AY$189+1,$P323),"")</f>
        <v/>
      </c>
      <c r="AZ323" s="335" t="str" cm="1">
        <f t="array" ref="AZ323">IF($C323&lt;&gt;"bitte wählen",INDEX(ListeLebensmittelIFEU,AZ$189+1,$P323),"")</f>
        <v/>
      </c>
    </row>
    <row r="324" spans="1:52" x14ac:dyDescent="0.3">
      <c r="B324" t="s">
        <v>330</v>
      </c>
      <c r="C324" s="471" t="s">
        <v>27</v>
      </c>
      <c r="D324" s="472"/>
      <c r="E324" s="349"/>
      <c r="F324" s="473" t="s">
        <v>12</v>
      </c>
      <c r="G324" s="350" t="str">
        <f t="shared" si="68"/>
        <v/>
      </c>
      <c r="H324" s="293" t="str">
        <f t="shared" si="69"/>
        <v/>
      </c>
      <c r="P324" s="333">
        <f t="shared" si="70"/>
        <v>22</v>
      </c>
      <c r="Q324" s="334" t="e">
        <f t="shared" si="73"/>
        <v>#N/A</v>
      </c>
      <c r="R324" s="359">
        <f t="shared" si="71"/>
        <v>0</v>
      </c>
      <c r="S324" s="380">
        <f t="shared" si="72"/>
        <v>0</v>
      </c>
      <c r="T324" s="333" t="str" cm="1">
        <f t="array" ref="T324">IF($C324&lt;&gt;"bitte wählen",INDEX(ListeLebensmittelIFEU,T$189+1,$P324),"")</f>
        <v/>
      </c>
      <c r="U324" s="334" t="str" cm="1">
        <f t="array" ref="U324">IF($C324&lt;&gt;"bitte wählen",INDEX(ListeLebensmittelIFEU,U$189+1,$P324),"")</f>
        <v/>
      </c>
      <c r="V324" s="334" t="str" cm="1">
        <f t="array" ref="V324">IF($C324&lt;&gt;"bitte wählen",INDEX(ListeLebensmittelIFEU,V$189+1,$P324),"")</f>
        <v/>
      </c>
      <c r="W324" s="334" t="str" cm="1">
        <f t="array" ref="W324">IF($C324&lt;&gt;"bitte wählen",INDEX(ListeLebensmittelIFEU,W$189+1,$P324),"")</f>
        <v/>
      </c>
      <c r="X324" s="334" t="str" cm="1">
        <f t="array" ref="X324">IF($C324&lt;&gt;"bitte wählen",INDEX(ListeLebensmittelIFEU,X$189+1,$P324),"")</f>
        <v/>
      </c>
      <c r="Y324" s="334" t="str" cm="1">
        <f t="array" ref="Y324">IF($C324&lt;&gt;"bitte wählen",INDEX(ListeLebensmittelIFEU,Y$189+1,$P324),"")</f>
        <v/>
      </c>
      <c r="Z324" s="334" t="str" cm="1">
        <f t="array" ref="Z324">IF($C324&lt;&gt;"bitte wählen",INDEX(ListeLebensmittelIFEU,Z$189+1,$P324),"")</f>
        <v/>
      </c>
      <c r="AA324" s="334" t="str" cm="1">
        <f t="array" ref="AA324">IF($C324&lt;&gt;"bitte wählen",INDEX(ListeLebensmittelIFEU,AA$189+1,$P324),"")</f>
        <v/>
      </c>
      <c r="AB324" s="334" t="str" cm="1">
        <f t="array" ref="AB324">IF($C324&lt;&gt;"bitte wählen",INDEX(ListeLebensmittelIFEU,AB$189+1,$P324),"")</f>
        <v/>
      </c>
      <c r="AC324" s="334" t="str" cm="1">
        <f t="array" ref="AC324">IF($C324&lt;&gt;"bitte wählen",INDEX(ListeLebensmittelIFEU,AC$189+1,$P324),"")</f>
        <v/>
      </c>
      <c r="AD324" s="334" t="str" cm="1">
        <f t="array" ref="AD324">IF($C324&lt;&gt;"bitte wählen",INDEX(ListeLebensmittelIFEU,AD$189+1,$P324),"")</f>
        <v/>
      </c>
      <c r="AE324" s="334" t="str" cm="1">
        <f t="array" ref="AE324">IF($C324&lt;&gt;"bitte wählen",INDEX(ListeLebensmittelIFEU,AE$189+1,$P324),"")</f>
        <v/>
      </c>
      <c r="AF324" s="334" t="str" cm="1">
        <f t="array" ref="AF324">IF($C324&lt;&gt;"bitte wählen",INDEX(ListeLebensmittelIFEU,AF$189+1,$P324),"")</f>
        <v/>
      </c>
      <c r="AG324" s="334" t="str" cm="1">
        <f t="array" ref="AG324">IF($C324&lt;&gt;"bitte wählen",INDEX(ListeLebensmittelIFEU,AG$189+1,$P324),"")</f>
        <v/>
      </c>
      <c r="AH324" s="334" t="str" cm="1">
        <f t="array" ref="AH324">IF($C324&lt;&gt;"bitte wählen",INDEX(ListeLebensmittelIFEU,AH$189+1,$P324),"")</f>
        <v/>
      </c>
      <c r="AI324" s="334" t="str" cm="1">
        <f t="array" ref="AI324">IF($C324&lt;&gt;"bitte wählen",INDEX(ListeLebensmittelIFEU,AI$189+1,$P324),"")</f>
        <v/>
      </c>
      <c r="AJ324" s="334" t="str" cm="1">
        <f t="array" ref="AJ324">IF($C324&lt;&gt;"bitte wählen",INDEX(ListeLebensmittelIFEU,AJ$189+1,$P324),"")</f>
        <v/>
      </c>
      <c r="AK324" s="334" t="str" cm="1">
        <f t="array" ref="AK324">IF($C324&lt;&gt;"bitte wählen",INDEX(ListeLebensmittelIFEU,AK$189+1,$P324),"")</f>
        <v/>
      </c>
      <c r="AL324" s="334" t="str" cm="1">
        <f t="array" ref="AL324">IF($C324&lt;&gt;"bitte wählen",INDEX(ListeLebensmittelIFEU,AL$189+1,$P324),"")</f>
        <v/>
      </c>
      <c r="AM324" s="334" t="str" cm="1">
        <f t="array" ref="AM324">IF($C324&lt;&gt;"bitte wählen",INDEX(ListeLebensmittelIFEU,AM$189+1,$P324),"")</f>
        <v/>
      </c>
      <c r="AN324" s="334" t="str" cm="1">
        <f t="array" ref="AN324">IF($C324&lt;&gt;"bitte wählen",INDEX(ListeLebensmittelIFEU,AN$189+1,$P324),"")</f>
        <v/>
      </c>
      <c r="AO324" s="334" t="str" cm="1">
        <f t="array" ref="AO324">IF($C324&lt;&gt;"bitte wählen",INDEX(ListeLebensmittelIFEU,AO$189+1,$P324),"")</f>
        <v/>
      </c>
      <c r="AP324" s="334" t="str" cm="1">
        <f t="array" ref="AP324">IF($C324&lt;&gt;"bitte wählen",INDEX(ListeLebensmittelIFEU,AP$189+1,$P324),"")</f>
        <v/>
      </c>
      <c r="AQ324" s="334" t="str" cm="1">
        <f t="array" ref="AQ324">IF($C324&lt;&gt;"bitte wählen",INDEX(ListeLebensmittelIFEU,AQ$189+1,$P324),"")</f>
        <v/>
      </c>
      <c r="AR324" s="334" t="str" cm="1">
        <f t="array" ref="AR324">IF($C324&lt;&gt;"bitte wählen",INDEX(ListeLebensmittelIFEU,AR$189+1,$P324),"")</f>
        <v/>
      </c>
      <c r="AS324" s="334" t="str" cm="1">
        <f t="array" ref="AS324">IF($C324&lt;&gt;"bitte wählen",INDEX(ListeLebensmittelIFEU,AS$189+1,$P324),"")</f>
        <v/>
      </c>
      <c r="AT324" s="334" t="str" cm="1">
        <f t="array" ref="AT324">IF($C324&lt;&gt;"bitte wählen",INDEX(ListeLebensmittelIFEU,AT$189+1,$P324),"")</f>
        <v/>
      </c>
      <c r="AU324" s="334" t="str" cm="1">
        <f t="array" ref="AU324">IF($C324&lt;&gt;"bitte wählen",INDEX(ListeLebensmittelIFEU,AU$189+1,$P324),"")</f>
        <v/>
      </c>
      <c r="AV324" s="334" t="str" cm="1">
        <f t="array" ref="AV324">IF($C324&lt;&gt;"bitte wählen",INDEX(ListeLebensmittelIFEU,AV$189+1,$P324),"")</f>
        <v/>
      </c>
      <c r="AW324" s="334" t="str" cm="1">
        <f t="array" ref="AW324">IF($C324&lt;&gt;"bitte wählen",INDEX(ListeLebensmittelIFEU,AW$189+1,$P324),"")</f>
        <v/>
      </c>
      <c r="AX324" s="334" t="str" cm="1">
        <f t="array" ref="AX324">IF($C324&lt;&gt;"bitte wählen",INDEX(ListeLebensmittelIFEU,AX$189+1,$P324),"")</f>
        <v/>
      </c>
      <c r="AY324" s="334" t="str" cm="1">
        <f t="array" ref="AY324">IF($C324&lt;&gt;"bitte wählen",INDEX(ListeLebensmittelIFEU,AY$189+1,$P324),"")</f>
        <v/>
      </c>
      <c r="AZ324" s="335" t="str" cm="1">
        <f t="array" ref="AZ324">IF($C324&lt;&gt;"bitte wählen",INDEX(ListeLebensmittelIFEU,AZ$189+1,$P324),"")</f>
        <v/>
      </c>
    </row>
    <row r="325" spans="1:52" x14ac:dyDescent="0.3">
      <c r="B325" t="s">
        <v>398</v>
      </c>
      <c r="C325" s="471" t="s">
        <v>27</v>
      </c>
      <c r="D325" s="472"/>
      <c r="E325" s="349"/>
      <c r="F325" s="473" t="s">
        <v>12</v>
      </c>
      <c r="G325" s="350" t="str">
        <f t="shared" si="68"/>
        <v/>
      </c>
      <c r="H325" s="293" t="str">
        <f t="shared" si="69"/>
        <v/>
      </c>
      <c r="P325" s="336">
        <f t="shared" si="70"/>
        <v>22</v>
      </c>
      <c r="Q325" s="337" t="e">
        <f t="shared" si="73"/>
        <v>#N/A</v>
      </c>
      <c r="R325" s="360">
        <f t="shared" si="71"/>
        <v>0</v>
      </c>
      <c r="S325" s="381">
        <f t="shared" si="72"/>
        <v>0</v>
      </c>
      <c r="T325" s="336" t="str" cm="1">
        <f t="array" ref="T325">IF($C325&lt;&gt;"bitte wählen",INDEX(ListeLebensmittelIFEU,T$189+1,$P325),"")</f>
        <v/>
      </c>
      <c r="U325" s="337" t="str" cm="1">
        <f t="array" ref="U325">IF($C325&lt;&gt;"bitte wählen",INDEX(ListeLebensmittelIFEU,U$189+1,$P325),"")</f>
        <v/>
      </c>
      <c r="V325" s="337" t="str" cm="1">
        <f t="array" ref="V325">IF($C325&lt;&gt;"bitte wählen",INDEX(ListeLebensmittelIFEU,V$189+1,$P325),"")</f>
        <v/>
      </c>
      <c r="W325" s="337" t="str" cm="1">
        <f t="array" ref="W325">IF($C325&lt;&gt;"bitte wählen",INDEX(ListeLebensmittelIFEU,W$189+1,$P325),"")</f>
        <v/>
      </c>
      <c r="X325" s="337" t="str" cm="1">
        <f t="array" ref="X325">IF($C325&lt;&gt;"bitte wählen",INDEX(ListeLebensmittelIFEU,X$189+1,$P325),"")</f>
        <v/>
      </c>
      <c r="Y325" s="337" t="str" cm="1">
        <f t="array" ref="Y325">IF($C325&lt;&gt;"bitte wählen",INDEX(ListeLebensmittelIFEU,Y$189+1,$P325),"")</f>
        <v/>
      </c>
      <c r="Z325" s="337" t="str" cm="1">
        <f t="array" ref="Z325">IF($C325&lt;&gt;"bitte wählen",INDEX(ListeLebensmittelIFEU,Z$189+1,$P325),"")</f>
        <v/>
      </c>
      <c r="AA325" s="337" t="str" cm="1">
        <f t="array" ref="AA325">IF($C325&lt;&gt;"bitte wählen",INDEX(ListeLebensmittelIFEU,AA$189+1,$P325),"")</f>
        <v/>
      </c>
      <c r="AB325" s="337" t="str" cm="1">
        <f t="array" ref="AB325">IF($C325&lt;&gt;"bitte wählen",INDEX(ListeLebensmittelIFEU,AB$189+1,$P325),"")</f>
        <v/>
      </c>
      <c r="AC325" s="337" t="str" cm="1">
        <f t="array" ref="AC325">IF($C325&lt;&gt;"bitte wählen",INDEX(ListeLebensmittelIFEU,AC$189+1,$P325),"")</f>
        <v/>
      </c>
      <c r="AD325" s="337" t="str" cm="1">
        <f t="array" ref="AD325">IF($C325&lt;&gt;"bitte wählen",INDEX(ListeLebensmittelIFEU,AD$189+1,$P325),"")</f>
        <v/>
      </c>
      <c r="AE325" s="337" t="str" cm="1">
        <f t="array" ref="AE325">IF($C325&lt;&gt;"bitte wählen",INDEX(ListeLebensmittelIFEU,AE$189+1,$P325),"")</f>
        <v/>
      </c>
      <c r="AF325" s="337" t="str" cm="1">
        <f t="array" ref="AF325">IF($C325&lt;&gt;"bitte wählen",INDEX(ListeLebensmittelIFEU,AF$189+1,$P325),"")</f>
        <v/>
      </c>
      <c r="AG325" s="337" t="str" cm="1">
        <f t="array" ref="AG325">IF($C325&lt;&gt;"bitte wählen",INDEX(ListeLebensmittelIFEU,AG$189+1,$P325),"")</f>
        <v/>
      </c>
      <c r="AH325" s="337" t="str" cm="1">
        <f t="array" ref="AH325">IF($C325&lt;&gt;"bitte wählen",INDEX(ListeLebensmittelIFEU,AH$189+1,$P325),"")</f>
        <v/>
      </c>
      <c r="AI325" s="337" t="str" cm="1">
        <f t="array" ref="AI325">IF($C325&lt;&gt;"bitte wählen",INDEX(ListeLebensmittelIFEU,AI$189+1,$P325),"")</f>
        <v/>
      </c>
      <c r="AJ325" s="337" t="str" cm="1">
        <f t="array" ref="AJ325">IF($C325&lt;&gt;"bitte wählen",INDEX(ListeLebensmittelIFEU,AJ$189+1,$P325),"")</f>
        <v/>
      </c>
      <c r="AK325" s="337" t="str" cm="1">
        <f t="array" ref="AK325">IF($C325&lt;&gt;"bitte wählen",INDEX(ListeLebensmittelIFEU,AK$189+1,$P325),"")</f>
        <v/>
      </c>
      <c r="AL325" s="337" t="str" cm="1">
        <f t="array" ref="AL325">IF($C325&lt;&gt;"bitte wählen",INDEX(ListeLebensmittelIFEU,AL$189+1,$P325),"")</f>
        <v/>
      </c>
      <c r="AM325" s="337" t="str" cm="1">
        <f t="array" ref="AM325">IF($C325&lt;&gt;"bitte wählen",INDEX(ListeLebensmittelIFEU,AM$189+1,$P325),"")</f>
        <v/>
      </c>
      <c r="AN325" s="337" t="str" cm="1">
        <f t="array" ref="AN325">IF($C325&lt;&gt;"bitte wählen",INDEX(ListeLebensmittelIFEU,AN$189+1,$P325),"")</f>
        <v/>
      </c>
      <c r="AO325" s="337" t="str" cm="1">
        <f t="array" ref="AO325">IF($C325&lt;&gt;"bitte wählen",INDEX(ListeLebensmittelIFEU,AO$189+1,$P325),"")</f>
        <v/>
      </c>
      <c r="AP325" s="337" t="str" cm="1">
        <f t="array" ref="AP325">IF($C325&lt;&gt;"bitte wählen",INDEX(ListeLebensmittelIFEU,AP$189+1,$P325),"")</f>
        <v/>
      </c>
      <c r="AQ325" s="337" t="str" cm="1">
        <f t="array" ref="AQ325">IF($C325&lt;&gt;"bitte wählen",INDEX(ListeLebensmittelIFEU,AQ$189+1,$P325),"")</f>
        <v/>
      </c>
      <c r="AR325" s="337" t="str" cm="1">
        <f t="array" ref="AR325">IF($C325&lt;&gt;"bitte wählen",INDEX(ListeLebensmittelIFEU,AR$189+1,$P325),"")</f>
        <v/>
      </c>
      <c r="AS325" s="337" t="str" cm="1">
        <f t="array" ref="AS325">IF($C325&lt;&gt;"bitte wählen",INDEX(ListeLebensmittelIFEU,AS$189+1,$P325),"")</f>
        <v/>
      </c>
      <c r="AT325" s="337" t="str" cm="1">
        <f t="array" ref="AT325">IF($C325&lt;&gt;"bitte wählen",INDEX(ListeLebensmittelIFEU,AT$189+1,$P325),"")</f>
        <v/>
      </c>
      <c r="AU325" s="337" t="str" cm="1">
        <f t="array" ref="AU325">IF($C325&lt;&gt;"bitte wählen",INDEX(ListeLebensmittelIFEU,AU$189+1,$P325),"")</f>
        <v/>
      </c>
      <c r="AV325" s="337" t="str" cm="1">
        <f t="array" ref="AV325">IF($C325&lt;&gt;"bitte wählen",INDEX(ListeLebensmittelIFEU,AV$189+1,$P325),"")</f>
        <v/>
      </c>
      <c r="AW325" s="337" t="str" cm="1">
        <f t="array" ref="AW325">IF($C325&lt;&gt;"bitte wählen",INDEX(ListeLebensmittelIFEU,AW$189+1,$P325),"")</f>
        <v/>
      </c>
      <c r="AX325" s="337" t="str" cm="1">
        <f t="array" ref="AX325">IF($C325&lt;&gt;"bitte wählen",INDEX(ListeLebensmittelIFEU,AX$189+1,$P325),"")</f>
        <v/>
      </c>
      <c r="AY325" s="337" t="str" cm="1">
        <f t="array" ref="AY325">IF($C325&lt;&gt;"bitte wählen",INDEX(ListeLebensmittelIFEU,AY$189+1,$P325),"")</f>
        <v/>
      </c>
      <c r="AZ325" s="338" t="str" cm="1">
        <f t="array" ref="AZ325">IF($C325&lt;&gt;"bitte wählen",INDEX(ListeLebensmittelIFEU,AZ$189+1,$P325),"")</f>
        <v/>
      </c>
    </row>
    <row r="326" spans="1:52" x14ac:dyDescent="0.3">
      <c r="B326" s="105" t="str">
        <f>IF(R326,IF(E326/IF(D318="",1,D318)&lt;GewichtMittagessenMin,"Hinweis: Dies scheint eine relativ kleine Portion zu sein",IF(E326/IF(D318="",1,D318)&gt;GewichtMittagessenMax,"Hinweis: Dies scheint eine relativ große Portion zu sein","")),"")</f>
        <v/>
      </c>
      <c r="C326" s="78"/>
      <c r="D326" s="78"/>
      <c r="E326" s="355">
        <f>SUM(E320:E325)-SUMIF(C320:C325,"Getränke",E320:E325)</f>
        <v>0</v>
      </c>
      <c r="G326" s="15" t="s">
        <v>622</v>
      </c>
      <c r="H326" s="293">
        <f>SUM(H320:H325)</f>
        <v>0</v>
      </c>
      <c r="Q326" s="383" t="s">
        <v>1030</v>
      </c>
      <c r="R326" s="386" t="b">
        <f>IF(SUM(R320:R325)&gt;0,TRUE,FALSE)</f>
        <v>0</v>
      </c>
      <c r="S326" s="383">
        <f>SUM(S320:S325)</f>
        <v>0</v>
      </c>
      <c r="T326" s="383" t="s">
        <v>1029</v>
      </c>
      <c r="U326" s="383" t="str">
        <f>IF(R326,IF(S326&gt;9,10,IF(S326&gt;0,1,0)),"")</f>
        <v/>
      </c>
    </row>
    <row r="327" spans="1:52" x14ac:dyDescent="0.3">
      <c r="B327" s="385" t="str">
        <f>IF(U326=0,"🌱 vegan","")</f>
        <v/>
      </c>
      <c r="C327" s="105" t="str">
        <f>IF(U326=1,"Ⓥ vegetarisch","")</f>
        <v/>
      </c>
      <c r="D327" s="384" t="str">
        <f>IF(U326=10,"🥩 mit Fleisch/Fisch","")</f>
        <v/>
      </c>
      <c r="E327" s="78"/>
      <c r="G327" s="15" t="s">
        <v>623</v>
      </c>
      <c r="H327" s="294">
        <f>IF(D318="",H326,H326/D318)</f>
        <v>0</v>
      </c>
    </row>
    <row r="328" spans="1:52" x14ac:dyDescent="0.3">
      <c r="T328" s="84"/>
    </row>
    <row r="329" spans="1:52" ht="18" thickBot="1" x14ac:dyDescent="0.4">
      <c r="B329" s="496" t="str">
        <f>"CO₂-Bilanz Gericht 12: "&amp;D330</f>
        <v>CO₂-Bilanz Gericht 12: Menü 12</v>
      </c>
      <c r="C329" s="496"/>
      <c r="D329" s="496"/>
      <c r="E329" s="496"/>
      <c r="T329" s="84"/>
    </row>
    <row r="330" spans="1:52" ht="15" thickTop="1" x14ac:dyDescent="0.3">
      <c r="B330" t="s">
        <v>994</v>
      </c>
      <c r="D330" s="288" t="s">
        <v>1004</v>
      </c>
      <c r="F330" s="78"/>
      <c r="G330" s="78"/>
      <c r="H330" s="78"/>
      <c r="I330" s="78"/>
    </row>
    <row r="331" spans="1:52" x14ac:dyDescent="0.3">
      <c r="B331" t="s">
        <v>995</v>
      </c>
      <c r="C331" s="78"/>
      <c r="D331" s="291">
        <v>1</v>
      </c>
      <c r="E331" s="301" t="str">
        <f>IF(ISNUMBER(FIND("g",_xlfn.CONCAT(E333:E338))),"Bitte Menge als reine Zahl ohne Zusatz g eingeben","")</f>
        <v/>
      </c>
      <c r="G331" s="78"/>
      <c r="H331" s="78"/>
      <c r="T331" s="329" t="s">
        <v>918</v>
      </c>
      <c r="U331" s="330"/>
      <c r="V331" s="330"/>
      <c r="W331" s="330"/>
      <c r="X331" s="330"/>
      <c r="Y331" s="330"/>
    </row>
    <row r="332" spans="1:52" ht="44.4" x14ac:dyDescent="0.35">
      <c r="A332" s="376" t="s">
        <v>1217</v>
      </c>
      <c r="C332" s="297" t="s">
        <v>993</v>
      </c>
      <c r="D332" s="313" t="s">
        <v>992</v>
      </c>
      <c r="E332" s="298" t="s">
        <v>323</v>
      </c>
      <c r="F332" s="298" t="s">
        <v>324</v>
      </c>
      <c r="G332" s="296" t="s">
        <v>534</v>
      </c>
      <c r="H332" s="296" t="s">
        <v>535</v>
      </c>
      <c r="P332" s="356" t="s">
        <v>956</v>
      </c>
      <c r="Q332" s="356" t="s">
        <v>957</v>
      </c>
      <c r="R332" s="357" t="s">
        <v>958</v>
      </c>
      <c r="S332" s="357" t="s">
        <v>1028</v>
      </c>
      <c r="T332" s="361">
        <v>1</v>
      </c>
      <c r="U332" s="362">
        <v>2</v>
      </c>
      <c r="V332" s="362">
        <v>3</v>
      </c>
      <c r="W332" s="362">
        <v>4</v>
      </c>
      <c r="X332" s="362">
        <v>5</v>
      </c>
      <c r="Y332" s="362">
        <v>6</v>
      </c>
      <c r="Z332" s="362">
        <v>7</v>
      </c>
      <c r="AA332" s="362">
        <v>8</v>
      </c>
      <c r="AB332" s="362">
        <v>9</v>
      </c>
      <c r="AC332" s="362">
        <v>10</v>
      </c>
      <c r="AD332" s="362">
        <v>11</v>
      </c>
      <c r="AE332" s="362">
        <v>12</v>
      </c>
      <c r="AF332" s="362">
        <v>13</v>
      </c>
      <c r="AG332" s="362">
        <v>14</v>
      </c>
      <c r="AH332" s="362">
        <v>15</v>
      </c>
      <c r="AI332" s="362">
        <v>16</v>
      </c>
      <c r="AJ332" s="362">
        <v>17</v>
      </c>
      <c r="AK332" s="362">
        <v>18</v>
      </c>
      <c r="AL332" s="362">
        <v>19</v>
      </c>
      <c r="AM332" s="362">
        <v>20</v>
      </c>
      <c r="AN332" s="362">
        <v>21</v>
      </c>
      <c r="AO332" s="362">
        <v>22</v>
      </c>
      <c r="AP332" s="362">
        <v>23</v>
      </c>
      <c r="AQ332" s="362">
        <v>24</v>
      </c>
      <c r="AR332" s="362">
        <v>25</v>
      </c>
      <c r="AS332" s="362">
        <v>26</v>
      </c>
      <c r="AT332" s="362">
        <v>27</v>
      </c>
      <c r="AU332" s="362">
        <v>28</v>
      </c>
      <c r="AV332" s="362">
        <v>29</v>
      </c>
      <c r="AW332" s="362">
        <v>30</v>
      </c>
      <c r="AX332" s="362">
        <v>31</v>
      </c>
      <c r="AY332" s="362">
        <v>32</v>
      </c>
      <c r="AZ332" s="363">
        <v>33</v>
      </c>
    </row>
    <row r="333" spans="1:52" x14ac:dyDescent="0.3">
      <c r="B333" t="s">
        <v>13</v>
      </c>
      <c r="C333" s="471" t="s">
        <v>27</v>
      </c>
      <c r="D333" s="472"/>
      <c r="E333" s="470"/>
      <c r="F333" s="473" t="s">
        <v>12</v>
      </c>
      <c r="G333" s="350" t="str">
        <f t="shared" ref="G333:G338" si="74">IF(D333="","",R333*IF(F333="Ja",FaktorBeiLokalemProdukt,1))</f>
        <v/>
      </c>
      <c r="H333" s="293" t="str">
        <f t="shared" ref="H333:H338" si="75">IF(D333="","",E333*G333)</f>
        <v/>
      </c>
      <c r="P333" s="331">
        <f t="shared" ref="P333:P338" si="76">VLOOKUP(C333,$C$457:$D$464,2,FALSE)</f>
        <v>22</v>
      </c>
      <c r="Q333" s="332" t="e">
        <f>MATCH(D333,T333:AZ333,0)</f>
        <v>#N/A</v>
      </c>
      <c r="R333" s="358">
        <f t="shared" ref="R333:R338" si="77">_xlfn.IFNA(IF(D333&lt;&gt;"",VLOOKUP(D333,$C$544:$E$774,2,FALSE),0),0)</f>
        <v>0</v>
      </c>
      <c r="S333" s="358">
        <f t="shared" ref="S333:S338" si="78">_xlfn.IFNA(IF(D333&lt;&gt;"",VLOOKUP(D333,$C$544:$E$774,3,FALSE),0),0)</f>
        <v>0</v>
      </c>
      <c r="T333" s="333" t="str" cm="1">
        <f t="array" ref="T333">IF($C333&lt;&gt;"bitte wählen",INDEX(ListeLebensmittelIFEU,T$189+1,$P333),"")</f>
        <v/>
      </c>
      <c r="U333" s="334" t="str" cm="1">
        <f t="array" ref="U333">IF($C333&lt;&gt;"bitte wählen",INDEX(ListeLebensmittelIFEU,U$189+1,$P333),"")</f>
        <v/>
      </c>
      <c r="V333" s="334" t="str" cm="1">
        <f t="array" ref="V333">IF($C333&lt;&gt;"bitte wählen",INDEX(ListeLebensmittelIFEU,V$189+1,$P333),"")</f>
        <v/>
      </c>
      <c r="W333" s="334" t="str" cm="1">
        <f t="array" ref="W333">IF($C333&lt;&gt;"bitte wählen",INDEX(ListeLebensmittelIFEU,W$189+1,$P333),"")</f>
        <v/>
      </c>
      <c r="X333" s="334" t="str" cm="1">
        <f t="array" ref="X333">IF($C333&lt;&gt;"bitte wählen",INDEX(ListeLebensmittelIFEU,X$189+1,$P333),"")</f>
        <v/>
      </c>
      <c r="Y333" s="334" t="str" cm="1">
        <f t="array" ref="Y333">IF($C333&lt;&gt;"bitte wählen",INDEX(ListeLebensmittelIFEU,Y$189+1,$P333),"")</f>
        <v/>
      </c>
      <c r="Z333" s="334" t="str" cm="1">
        <f t="array" ref="Z333">IF($C333&lt;&gt;"bitte wählen",INDEX(ListeLebensmittelIFEU,Z$189+1,$P333),"")</f>
        <v/>
      </c>
      <c r="AA333" s="334" t="str" cm="1">
        <f t="array" ref="AA333">IF($C333&lt;&gt;"bitte wählen",INDEX(ListeLebensmittelIFEU,AA$189+1,$P333),"")</f>
        <v/>
      </c>
      <c r="AB333" s="334" t="str" cm="1">
        <f t="array" ref="AB333">IF($C333&lt;&gt;"bitte wählen",INDEX(ListeLebensmittelIFEU,AB$189+1,$P333),"")</f>
        <v/>
      </c>
      <c r="AC333" s="334" t="str" cm="1">
        <f t="array" ref="AC333">IF($C333&lt;&gt;"bitte wählen",INDEX(ListeLebensmittelIFEU,AC$189+1,$P333),"")</f>
        <v/>
      </c>
      <c r="AD333" s="334" t="str" cm="1">
        <f t="array" ref="AD333">IF($C333&lt;&gt;"bitte wählen",INDEX(ListeLebensmittelIFEU,AD$189+1,$P333),"")</f>
        <v/>
      </c>
      <c r="AE333" s="334" t="str" cm="1">
        <f t="array" ref="AE333">IF($C333&lt;&gt;"bitte wählen",INDEX(ListeLebensmittelIFEU,AE$189+1,$P333),"")</f>
        <v/>
      </c>
      <c r="AF333" s="334" t="str" cm="1">
        <f t="array" ref="AF333">IF($C333&lt;&gt;"bitte wählen",INDEX(ListeLebensmittelIFEU,AF$189+1,$P333),"")</f>
        <v/>
      </c>
      <c r="AG333" s="334" t="str" cm="1">
        <f t="array" ref="AG333">IF($C333&lt;&gt;"bitte wählen",INDEX(ListeLebensmittelIFEU,AG$189+1,$P333),"")</f>
        <v/>
      </c>
      <c r="AH333" s="334" t="str" cm="1">
        <f t="array" ref="AH333">IF($C333&lt;&gt;"bitte wählen",INDEX(ListeLebensmittelIFEU,AH$189+1,$P333),"")</f>
        <v/>
      </c>
      <c r="AI333" s="334" t="str" cm="1">
        <f t="array" ref="AI333">IF($C333&lt;&gt;"bitte wählen",INDEX(ListeLebensmittelIFEU,AI$189+1,$P333),"")</f>
        <v/>
      </c>
      <c r="AJ333" s="334" t="str" cm="1">
        <f t="array" ref="AJ333">IF($C333&lt;&gt;"bitte wählen",INDEX(ListeLebensmittelIFEU,AJ$189+1,$P333),"")</f>
        <v/>
      </c>
      <c r="AK333" s="334" t="str" cm="1">
        <f t="array" ref="AK333">IF($C333&lt;&gt;"bitte wählen",INDEX(ListeLebensmittelIFEU,AK$189+1,$P333),"")</f>
        <v/>
      </c>
      <c r="AL333" s="334" t="str" cm="1">
        <f t="array" ref="AL333">IF($C333&lt;&gt;"bitte wählen",INDEX(ListeLebensmittelIFEU,AL$189+1,$P333),"")</f>
        <v/>
      </c>
      <c r="AM333" s="334" t="str" cm="1">
        <f t="array" ref="AM333">IF($C333&lt;&gt;"bitte wählen",INDEX(ListeLebensmittelIFEU,AM$189+1,$P333),"")</f>
        <v/>
      </c>
      <c r="AN333" s="334" t="str" cm="1">
        <f t="array" ref="AN333">IF($C333&lt;&gt;"bitte wählen",INDEX(ListeLebensmittelIFEU,AN$189+1,$P333),"")</f>
        <v/>
      </c>
      <c r="AO333" s="334" t="str" cm="1">
        <f t="array" ref="AO333">IF($C333&lt;&gt;"bitte wählen",INDEX(ListeLebensmittelIFEU,AO$189+1,$P333),"")</f>
        <v/>
      </c>
      <c r="AP333" s="334" t="str" cm="1">
        <f t="array" ref="AP333">IF($C333&lt;&gt;"bitte wählen",INDEX(ListeLebensmittelIFEU,AP$189+1,$P333),"")</f>
        <v/>
      </c>
      <c r="AQ333" s="334" t="str" cm="1">
        <f t="array" ref="AQ333">IF($C333&lt;&gt;"bitte wählen",INDEX(ListeLebensmittelIFEU,AQ$189+1,$P333),"")</f>
        <v/>
      </c>
      <c r="AR333" s="334" t="str" cm="1">
        <f t="array" ref="AR333">IF($C333&lt;&gt;"bitte wählen",INDEX(ListeLebensmittelIFEU,AR$189+1,$P333),"")</f>
        <v/>
      </c>
      <c r="AS333" s="334" t="str" cm="1">
        <f t="array" ref="AS333">IF($C333&lt;&gt;"bitte wählen",INDEX(ListeLebensmittelIFEU,AS$189+1,$P333),"")</f>
        <v/>
      </c>
      <c r="AT333" s="334" t="str" cm="1">
        <f t="array" ref="AT333">IF($C333&lt;&gt;"bitte wählen",INDEX(ListeLebensmittelIFEU,AT$189+1,$P333),"")</f>
        <v/>
      </c>
      <c r="AU333" s="334" t="str" cm="1">
        <f t="array" ref="AU333">IF($C333&lt;&gt;"bitte wählen",INDEX(ListeLebensmittelIFEU,AU$189+1,$P333),"")</f>
        <v/>
      </c>
      <c r="AV333" s="334" t="str" cm="1">
        <f t="array" ref="AV333">IF($C333&lt;&gt;"bitte wählen",INDEX(ListeLebensmittelIFEU,AV$189+1,$P333),"")</f>
        <v/>
      </c>
      <c r="AW333" s="334" t="str" cm="1">
        <f t="array" ref="AW333">IF($C333&lt;&gt;"bitte wählen",INDEX(ListeLebensmittelIFEU,AW$189+1,$P333),"")</f>
        <v/>
      </c>
      <c r="AX333" s="334" t="str" cm="1">
        <f t="array" ref="AX333">IF($C333&lt;&gt;"bitte wählen",INDEX(ListeLebensmittelIFEU,AX$189+1,$P333),"")</f>
        <v/>
      </c>
      <c r="AY333" s="334" t="str" cm="1">
        <f t="array" ref="AY333">IF($C333&lt;&gt;"bitte wählen",INDEX(ListeLebensmittelIFEU,AY$189+1,$P333),"")</f>
        <v/>
      </c>
      <c r="AZ333" s="335" t="str" cm="1">
        <f t="array" ref="AZ333">IF($C333&lt;&gt;"bitte wählen",INDEX(ListeLebensmittelIFEU,AZ$189+1,$P333),"")</f>
        <v/>
      </c>
    </row>
    <row r="334" spans="1:52" x14ac:dyDescent="0.3">
      <c r="B334" t="s">
        <v>327</v>
      </c>
      <c r="C334" s="471" t="s">
        <v>27</v>
      </c>
      <c r="D334" s="472"/>
      <c r="E334" s="349"/>
      <c r="F334" s="473" t="s">
        <v>12</v>
      </c>
      <c r="G334" s="350" t="str">
        <f t="shared" si="74"/>
        <v/>
      </c>
      <c r="H334" s="293" t="str">
        <f t="shared" si="75"/>
        <v/>
      </c>
      <c r="P334" s="333">
        <f t="shared" si="76"/>
        <v>22</v>
      </c>
      <c r="Q334" s="334" t="e">
        <f t="shared" ref="Q334:Q338" si="79">MATCH(D334,T334:AZ334,0)</f>
        <v>#N/A</v>
      </c>
      <c r="R334" s="359">
        <f t="shared" si="77"/>
        <v>0</v>
      </c>
      <c r="S334" s="380">
        <f t="shared" si="78"/>
        <v>0</v>
      </c>
      <c r="T334" s="333" t="str" cm="1">
        <f t="array" ref="T334">IF($C334&lt;&gt;"bitte wählen",INDEX(ListeLebensmittelIFEU,T$189+1,$P334),"")</f>
        <v/>
      </c>
      <c r="U334" s="334" t="str" cm="1">
        <f t="array" ref="U334">IF($C334&lt;&gt;"bitte wählen",INDEX(ListeLebensmittelIFEU,U$189+1,$P334),"")</f>
        <v/>
      </c>
      <c r="V334" s="334" t="str" cm="1">
        <f t="array" ref="V334">IF($C334&lt;&gt;"bitte wählen",INDEX(ListeLebensmittelIFEU,V$189+1,$P334),"")</f>
        <v/>
      </c>
      <c r="W334" s="334" t="str" cm="1">
        <f t="array" ref="W334">IF($C334&lt;&gt;"bitte wählen",INDEX(ListeLebensmittelIFEU,W$189+1,$P334),"")</f>
        <v/>
      </c>
      <c r="X334" s="334" t="str" cm="1">
        <f t="array" ref="X334">IF($C334&lt;&gt;"bitte wählen",INDEX(ListeLebensmittelIFEU,X$189+1,$P334),"")</f>
        <v/>
      </c>
      <c r="Y334" s="334" t="str" cm="1">
        <f t="array" ref="Y334">IF($C334&lt;&gt;"bitte wählen",INDEX(ListeLebensmittelIFEU,Y$189+1,$P334),"")</f>
        <v/>
      </c>
      <c r="Z334" s="334" t="str" cm="1">
        <f t="array" ref="Z334">IF($C334&lt;&gt;"bitte wählen",INDEX(ListeLebensmittelIFEU,Z$189+1,$P334),"")</f>
        <v/>
      </c>
      <c r="AA334" s="334" t="str" cm="1">
        <f t="array" ref="AA334">IF($C334&lt;&gt;"bitte wählen",INDEX(ListeLebensmittelIFEU,AA$189+1,$P334),"")</f>
        <v/>
      </c>
      <c r="AB334" s="334" t="str" cm="1">
        <f t="array" ref="AB334">IF($C334&lt;&gt;"bitte wählen",INDEX(ListeLebensmittelIFEU,AB$189+1,$P334),"")</f>
        <v/>
      </c>
      <c r="AC334" s="334" t="str" cm="1">
        <f t="array" ref="AC334">IF($C334&lt;&gt;"bitte wählen",INDEX(ListeLebensmittelIFEU,AC$189+1,$P334),"")</f>
        <v/>
      </c>
      <c r="AD334" s="334" t="str" cm="1">
        <f t="array" ref="AD334">IF($C334&lt;&gt;"bitte wählen",INDEX(ListeLebensmittelIFEU,AD$189+1,$P334),"")</f>
        <v/>
      </c>
      <c r="AE334" s="334" t="str" cm="1">
        <f t="array" ref="AE334">IF($C334&lt;&gt;"bitte wählen",INDEX(ListeLebensmittelIFEU,AE$189+1,$P334),"")</f>
        <v/>
      </c>
      <c r="AF334" s="334" t="str" cm="1">
        <f t="array" ref="AF334">IF($C334&lt;&gt;"bitte wählen",INDEX(ListeLebensmittelIFEU,AF$189+1,$P334),"")</f>
        <v/>
      </c>
      <c r="AG334" s="334" t="str" cm="1">
        <f t="array" ref="AG334">IF($C334&lt;&gt;"bitte wählen",INDEX(ListeLebensmittelIFEU,AG$189+1,$P334),"")</f>
        <v/>
      </c>
      <c r="AH334" s="334" t="str" cm="1">
        <f t="array" ref="AH334">IF($C334&lt;&gt;"bitte wählen",INDEX(ListeLebensmittelIFEU,AH$189+1,$P334),"")</f>
        <v/>
      </c>
      <c r="AI334" s="334" t="str" cm="1">
        <f t="array" ref="AI334">IF($C334&lt;&gt;"bitte wählen",INDEX(ListeLebensmittelIFEU,AI$189+1,$P334),"")</f>
        <v/>
      </c>
      <c r="AJ334" s="334" t="str" cm="1">
        <f t="array" ref="AJ334">IF($C334&lt;&gt;"bitte wählen",INDEX(ListeLebensmittelIFEU,AJ$189+1,$P334),"")</f>
        <v/>
      </c>
      <c r="AK334" s="334" t="str" cm="1">
        <f t="array" ref="AK334">IF($C334&lt;&gt;"bitte wählen",INDEX(ListeLebensmittelIFEU,AK$189+1,$P334),"")</f>
        <v/>
      </c>
      <c r="AL334" s="334" t="str" cm="1">
        <f t="array" ref="AL334">IF($C334&lt;&gt;"bitte wählen",INDEX(ListeLebensmittelIFEU,AL$189+1,$P334),"")</f>
        <v/>
      </c>
      <c r="AM334" s="334" t="str" cm="1">
        <f t="array" ref="AM334">IF($C334&lt;&gt;"bitte wählen",INDEX(ListeLebensmittelIFEU,AM$189+1,$P334),"")</f>
        <v/>
      </c>
      <c r="AN334" s="334" t="str" cm="1">
        <f t="array" ref="AN334">IF($C334&lt;&gt;"bitte wählen",INDEX(ListeLebensmittelIFEU,AN$189+1,$P334),"")</f>
        <v/>
      </c>
      <c r="AO334" s="334" t="str" cm="1">
        <f t="array" ref="AO334">IF($C334&lt;&gt;"bitte wählen",INDEX(ListeLebensmittelIFEU,AO$189+1,$P334),"")</f>
        <v/>
      </c>
      <c r="AP334" s="334" t="str" cm="1">
        <f t="array" ref="AP334">IF($C334&lt;&gt;"bitte wählen",INDEX(ListeLebensmittelIFEU,AP$189+1,$P334),"")</f>
        <v/>
      </c>
      <c r="AQ334" s="334" t="str" cm="1">
        <f t="array" ref="AQ334">IF($C334&lt;&gt;"bitte wählen",INDEX(ListeLebensmittelIFEU,AQ$189+1,$P334),"")</f>
        <v/>
      </c>
      <c r="AR334" s="334" t="str" cm="1">
        <f t="array" ref="AR334">IF($C334&lt;&gt;"bitte wählen",INDEX(ListeLebensmittelIFEU,AR$189+1,$P334),"")</f>
        <v/>
      </c>
      <c r="AS334" s="334" t="str" cm="1">
        <f t="array" ref="AS334">IF($C334&lt;&gt;"bitte wählen",INDEX(ListeLebensmittelIFEU,AS$189+1,$P334),"")</f>
        <v/>
      </c>
      <c r="AT334" s="334" t="str" cm="1">
        <f t="array" ref="AT334">IF($C334&lt;&gt;"bitte wählen",INDEX(ListeLebensmittelIFEU,AT$189+1,$P334),"")</f>
        <v/>
      </c>
      <c r="AU334" s="334" t="str" cm="1">
        <f t="array" ref="AU334">IF($C334&lt;&gt;"bitte wählen",INDEX(ListeLebensmittelIFEU,AU$189+1,$P334),"")</f>
        <v/>
      </c>
      <c r="AV334" s="334" t="str" cm="1">
        <f t="array" ref="AV334">IF($C334&lt;&gt;"bitte wählen",INDEX(ListeLebensmittelIFEU,AV$189+1,$P334),"")</f>
        <v/>
      </c>
      <c r="AW334" s="334" t="str" cm="1">
        <f t="array" ref="AW334">IF($C334&lt;&gt;"bitte wählen",INDEX(ListeLebensmittelIFEU,AW$189+1,$P334),"")</f>
        <v/>
      </c>
      <c r="AX334" s="334" t="str" cm="1">
        <f t="array" ref="AX334">IF($C334&lt;&gt;"bitte wählen",INDEX(ListeLebensmittelIFEU,AX$189+1,$P334),"")</f>
        <v/>
      </c>
      <c r="AY334" s="334" t="str" cm="1">
        <f t="array" ref="AY334">IF($C334&lt;&gt;"bitte wählen",INDEX(ListeLebensmittelIFEU,AY$189+1,$P334),"")</f>
        <v/>
      </c>
      <c r="AZ334" s="335" t="str" cm="1">
        <f t="array" ref="AZ334">IF($C334&lt;&gt;"bitte wählen",INDEX(ListeLebensmittelIFEU,AZ$189+1,$P334),"")</f>
        <v/>
      </c>
    </row>
    <row r="335" spans="1:52" x14ac:dyDescent="0.3">
      <c r="B335" t="s">
        <v>328</v>
      </c>
      <c r="C335" s="471" t="s">
        <v>27</v>
      </c>
      <c r="D335" s="472"/>
      <c r="E335" s="349"/>
      <c r="F335" s="473" t="s">
        <v>12</v>
      </c>
      <c r="G335" s="350" t="str">
        <f t="shared" si="74"/>
        <v/>
      </c>
      <c r="H335" s="293" t="str">
        <f t="shared" si="75"/>
        <v/>
      </c>
      <c r="P335" s="333">
        <f t="shared" si="76"/>
        <v>22</v>
      </c>
      <c r="Q335" s="334" t="e">
        <f t="shared" si="79"/>
        <v>#N/A</v>
      </c>
      <c r="R335" s="359">
        <f t="shared" si="77"/>
        <v>0</v>
      </c>
      <c r="S335" s="380">
        <f t="shared" si="78"/>
        <v>0</v>
      </c>
      <c r="T335" s="333" t="str" cm="1">
        <f t="array" ref="T335">IF($C335&lt;&gt;"bitte wählen",INDEX(ListeLebensmittelIFEU,T$189+1,$P335),"")</f>
        <v/>
      </c>
      <c r="U335" s="334" t="str" cm="1">
        <f t="array" ref="U335">IF($C335&lt;&gt;"bitte wählen",INDEX(ListeLebensmittelIFEU,U$189+1,$P335),"")</f>
        <v/>
      </c>
      <c r="V335" s="334" t="str" cm="1">
        <f t="array" ref="V335">IF($C335&lt;&gt;"bitte wählen",INDEX(ListeLebensmittelIFEU,V$189+1,$P335),"")</f>
        <v/>
      </c>
      <c r="W335" s="334" t="str" cm="1">
        <f t="array" ref="W335">IF($C335&lt;&gt;"bitte wählen",INDEX(ListeLebensmittelIFEU,W$189+1,$P335),"")</f>
        <v/>
      </c>
      <c r="X335" s="334" t="str" cm="1">
        <f t="array" ref="X335">IF($C335&lt;&gt;"bitte wählen",INDEX(ListeLebensmittelIFEU,X$189+1,$P335),"")</f>
        <v/>
      </c>
      <c r="Y335" s="334" t="str" cm="1">
        <f t="array" ref="Y335">IF($C335&lt;&gt;"bitte wählen",INDEX(ListeLebensmittelIFEU,Y$189+1,$P335),"")</f>
        <v/>
      </c>
      <c r="Z335" s="334" t="str" cm="1">
        <f t="array" ref="Z335">IF($C335&lt;&gt;"bitte wählen",INDEX(ListeLebensmittelIFEU,Z$189+1,$P335),"")</f>
        <v/>
      </c>
      <c r="AA335" s="334" t="str" cm="1">
        <f t="array" ref="AA335">IF($C335&lt;&gt;"bitte wählen",INDEX(ListeLebensmittelIFEU,AA$189+1,$P335),"")</f>
        <v/>
      </c>
      <c r="AB335" s="334" t="str" cm="1">
        <f t="array" ref="AB335">IF($C335&lt;&gt;"bitte wählen",INDEX(ListeLebensmittelIFEU,AB$189+1,$P335),"")</f>
        <v/>
      </c>
      <c r="AC335" s="334" t="str" cm="1">
        <f t="array" ref="AC335">IF($C335&lt;&gt;"bitte wählen",INDEX(ListeLebensmittelIFEU,AC$189+1,$P335),"")</f>
        <v/>
      </c>
      <c r="AD335" s="334" t="str" cm="1">
        <f t="array" ref="AD335">IF($C335&lt;&gt;"bitte wählen",INDEX(ListeLebensmittelIFEU,AD$189+1,$P335),"")</f>
        <v/>
      </c>
      <c r="AE335" s="334" t="str" cm="1">
        <f t="array" ref="AE335">IF($C335&lt;&gt;"bitte wählen",INDEX(ListeLebensmittelIFEU,AE$189+1,$P335),"")</f>
        <v/>
      </c>
      <c r="AF335" s="334" t="str" cm="1">
        <f t="array" ref="AF335">IF($C335&lt;&gt;"bitte wählen",INDEX(ListeLebensmittelIFEU,AF$189+1,$P335),"")</f>
        <v/>
      </c>
      <c r="AG335" s="334" t="str" cm="1">
        <f t="array" ref="AG335">IF($C335&lt;&gt;"bitte wählen",INDEX(ListeLebensmittelIFEU,AG$189+1,$P335),"")</f>
        <v/>
      </c>
      <c r="AH335" s="334" t="str" cm="1">
        <f t="array" ref="AH335">IF($C335&lt;&gt;"bitte wählen",INDEX(ListeLebensmittelIFEU,AH$189+1,$P335),"")</f>
        <v/>
      </c>
      <c r="AI335" s="334" t="str" cm="1">
        <f t="array" ref="AI335">IF($C335&lt;&gt;"bitte wählen",INDEX(ListeLebensmittelIFEU,AI$189+1,$P335),"")</f>
        <v/>
      </c>
      <c r="AJ335" s="334" t="str" cm="1">
        <f t="array" ref="AJ335">IF($C335&lt;&gt;"bitte wählen",INDEX(ListeLebensmittelIFEU,AJ$189+1,$P335),"")</f>
        <v/>
      </c>
      <c r="AK335" s="334" t="str" cm="1">
        <f t="array" ref="AK335">IF($C335&lt;&gt;"bitte wählen",INDEX(ListeLebensmittelIFEU,AK$189+1,$P335),"")</f>
        <v/>
      </c>
      <c r="AL335" s="334" t="str" cm="1">
        <f t="array" ref="AL335">IF($C335&lt;&gt;"bitte wählen",INDEX(ListeLebensmittelIFEU,AL$189+1,$P335),"")</f>
        <v/>
      </c>
      <c r="AM335" s="334" t="str" cm="1">
        <f t="array" ref="AM335">IF($C335&lt;&gt;"bitte wählen",INDEX(ListeLebensmittelIFEU,AM$189+1,$P335),"")</f>
        <v/>
      </c>
      <c r="AN335" s="334" t="str" cm="1">
        <f t="array" ref="AN335">IF($C335&lt;&gt;"bitte wählen",INDEX(ListeLebensmittelIFEU,AN$189+1,$P335),"")</f>
        <v/>
      </c>
      <c r="AO335" s="334" t="str" cm="1">
        <f t="array" ref="AO335">IF($C335&lt;&gt;"bitte wählen",INDEX(ListeLebensmittelIFEU,AO$189+1,$P335),"")</f>
        <v/>
      </c>
      <c r="AP335" s="334" t="str" cm="1">
        <f t="array" ref="AP335">IF($C335&lt;&gt;"bitte wählen",INDEX(ListeLebensmittelIFEU,AP$189+1,$P335),"")</f>
        <v/>
      </c>
      <c r="AQ335" s="334" t="str" cm="1">
        <f t="array" ref="AQ335">IF($C335&lt;&gt;"bitte wählen",INDEX(ListeLebensmittelIFEU,AQ$189+1,$P335),"")</f>
        <v/>
      </c>
      <c r="AR335" s="334" t="str" cm="1">
        <f t="array" ref="AR335">IF($C335&lt;&gt;"bitte wählen",INDEX(ListeLebensmittelIFEU,AR$189+1,$P335),"")</f>
        <v/>
      </c>
      <c r="AS335" s="334" t="str" cm="1">
        <f t="array" ref="AS335">IF($C335&lt;&gt;"bitte wählen",INDEX(ListeLebensmittelIFEU,AS$189+1,$P335),"")</f>
        <v/>
      </c>
      <c r="AT335" s="334" t="str" cm="1">
        <f t="array" ref="AT335">IF($C335&lt;&gt;"bitte wählen",INDEX(ListeLebensmittelIFEU,AT$189+1,$P335),"")</f>
        <v/>
      </c>
      <c r="AU335" s="334" t="str" cm="1">
        <f t="array" ref="AU335">IF($C335&lt;&gt;"bitte wählen",INDEX(ListeLebensmittelIFEU,AU$189+1,$P335),"")</f>
        <v/>
      </c>
      <c r="AV335" s="334" t="str" cm="1">
        <f t="array" ref="AV335">IF($C335&lt;&gt;"bitte wählen",INDEX(ListeLebensmittelIFEU,AV$189+1,$P335),"")</f>
        <v/>
      </c>
      <c r="AW335" s="334" t="str" cm="1">
        <f t="array" ref="AW335">IF($C335&lt;&gt;"bitte wählen",INDEX(ListeLebensmittelIFEU,AW$189+1,$P335),"")</f>
        <v/>
      </c>
      <c r="AX335" s="334" t="str" cm="1">
        <f t="array" ref="AX335">IF($C335&lt;&gt;"bitte wählen",INDEX(ListeLebensmittelIFEU,AX$189+1,$P335),"")</f>
        <v/>
      </c>
      <c r="AY335" s="334" t="str" cm="1">
        <f t="array" ref="AY335">IF($C335&lt;&gt;"bitte wählen",INDEX(ListeLebensmittelIFEU,AY$189+1,$P335),"")</f>
        <v/>
      </c>
      <c r="AZ335" s="335" t="str" cm="1">
        <f t="array" ref="AZ335">IF($C335&lt;&gt;"bitte wählen",INDEX(ListeLebensmittelIFEU,AZ$189+1,$P335),"")</f>
        <v/>
      </c>
    </row>
    <row r="336" spans="1:52" x14ac:dyDescent="0.3">
      <c r="B336" t="s">
        <v>329</v>
      </c>
      <c r="C336" s="471" t="s">
        <v>27</v>
      </c>
      <c r="D336" s="472"/>
      <c r="E336" s="349"/>
      <c r="F336" s="473" t="s">
        <v>12</v>
      </c>
      <c r="G336" s="350" t="str">
        <f t="shared" si="74"/>
        <v/>
      </c>
      <c r="H336" s="293" t="str">
        <f t="shared" si="75"/>
        <v/>
      </c>
      <c r="P336" s="333">
        <f t="shared" si="76"/>
        <v>22</v>
      </c>
      <c r="Q336" s="334" t="e">
        <f t="shared" si="79"/>
        <v>#N/A</v>
      </c>
      <c r="R336" s="359">
        <f t="shared" si="77"/>
        <v>0</v>
      </c>
      <c r="S336" s="380">
        <f t="shared" si="78"/>
        <v>0</v>
      </c>
      <c r="T336" s="333" t="str" cm="1">
        <f t="array" ref="T336">IF($C336&lt;&gt;"bitte wählen",INDEX(ListeLebensmittelIFEU,T$189+1,$P336),"")</f>
        <v/>
      </c>
      <c r="U336" s="334" t="str" cm="1">
        <f t="array" ref="U336">IF($C336&lt;&gt;"bitte wählen",INDEX(ListeLebensmittelIFEU,U$189+1,$P336),"")</f>
        <v/>
      </c>
      <c r="V336" s="334" t="str" cm="1">
        <f t="array" ref="V336">IF($C336&lt;&gt;"bitte wählen",INDEX(ListeLebensmittelIFEU,V$189+1,$P336),"")</f>
        <v/>
      </c>
      <c r="W336" s="334" t="str" cm="1">
        <f t="array" ref="W336">IF($C336&lt;&gt;"bitte wählen",INDEX(ListeLebensmittelIFEU,W$189+1,$P336),"")</f>
        <v/>
      </c>
      <c r="X336" s="334" t="str" cm="1">
        <f t="array" ref="X336">IF($C336&lt;&gt;"bitte wählen",INDEX(ListeLebensmittelIFEU,X$189+1,$P336),"")</f>
        <v/>
      </c>
      <c r="Y336" s="334" t="str" cm="1">
        <f t="array" ref="Y336">IF($C336&lt;&gt;"bitte wählen",INDEX(ListeLebensmittelIFEU,Y$189+1,$P336),"")</f>
        <v/>
      </c>
      <c r="Z336" s="334" t="str" cm="1">
        <f t="array" ref="Z336">IF($C336&lt;&gt;"bitte wählen",INDEX(ListeLebensmittelIFEU,Z$189+1,$P336),"")</f>
        <v/>
      </c>
      <c r="AA336" s="334" t="str" cm="1">
        <f t="array" ref="AA336">IF($C336&lt;&gt;"bitte wählen",INDEX(ListeLebensmittelIFEU,AA$189+1,$P336),"")</f>
        <v/>
      </c>
      <c r="AB336" s="334" t="str" cm="1">
        <f t="array" ref="AB336">IF($C336&lt;&gt;"bitte wählen",INDEX(ListeLebensmittelIFEU,AB$189+1,$P336),"")</f>
        <v/>
      </c>
      <c r="AC336" s="334" t="str" cm="1">
        <f t="array" ref="AC336">IF($C336&lt;&gt;"bitte wählen",INDEX(ListeLebensmittelIFEU,AC$189+1,$P336),"")</f>
        <v/>
      </c>
      <c r="AD336" s="334" t="str" cm="1">
        <f t="array" ref="AD336">IF($C336&lt;&gt;"bitte wählen",INDEX(ListeLebensmittelIFEU,AD$189+1,$P336),"")</f>
        <v/>
      </c>
      <c r="AE336" s="334" t="str" cm="1">
        <f t="array" ref="AE336">IF($C336&lt;&gt;"bitte wählen",INDEX(ListeLebensmittelIFEU,AE$189+1,$P336),"")</f>
        <v/>
      </c>
      <c r="AF336" s="334" t="str" cm="1">
        <f t="array" ref="AF336">IF($C336&lt;&gt;"bitte wählen",INDEX(ListeLebensmittelIFEU,AF$189+1,$P336),"")</f>
        <v/>
      </c>
      <c r="AG336" s="334" t="str" cm="1">
        <f t="array" ref="AG336">IF($C336&lt;&gt;"bitte wählen",INDEX(ListeLebensmittelIFEU,AG$189+1,$P336),"")</f>
        <v/>
      </c>
      <c r="AH336" s="334" t="str" cm="1">
        <f t="array" ref="AH336">IF($C336&lt;&gt;"bitte wählen",INDEX(ListeLebensmittelIFEU,AH$189+1,$P336),"")</f>
        <v/>
      </c>
      <c r="AI336" s="334" t="str" cm="1">
        <f t="array" ref="AI336">IF($C336&lt;&gt;"bitte wählen",INDEX(ListeLebensmittelIFEU,AI$189+1,$P336),"")</f>
        <v/>
      </c>
      <c r="AJ336" s="334" t="str" cm="1">
        <f t="array" ref="AJ336">IF($C336&lt;&gt;"bitte wählen",INDEX(ListeLebensmittelIFEU,AJ$189+1,$P336),"")</f>
        <v/>
      </c>
      <c r="AK336" s="334" t="str" cm="1">
        <f t="array" ref="AK336">IF($C336&lt;&gt;"bitte wählen",INDEX(ListeLebensmittelIFEU,AK$189+1,$P336),"")</f>
        <v/>
      </c>
      <c r="AL336" s="334" t="str" cm="1">
        <f t="array" ref="AL336">IF($C336&lt;&gt;"bitte wählen",INDEX(ListeLebensmittelIFEU,AL$189+1,$P336),"")</f>
        <v/>
      </c>
      <c r="AM336" s="334" t="str" cm="1">
        <f t="array" ref="AM336">IF($C336&lt;&gt;"bitte wählen",INDEX(ListeLebensmittelIFEU,AM$189+1,$P336),"")</f>
        <v/>
      </c>
      <c r="AN336" s="334" t="str" cm="1">
        <f t="array" ref="AN336">IF($C336&lt;&gt;"bitte wählen",INDEX(ListeLebensmittelIFEU,AN$189+1,$P336),"")</f>
        <v/>
      </c>
      <c r="AO336" s="334" t="str" cm="1">
        <f t="array" ref="AO336">IF($C336&lt;&gt;"bitte wählen",INDEX(ListeLebensmittelIFEU,AO$189+1,$P336),"")</f>
        <v/>
      </c>
      <c r="AP336" s="334" t="str" cm="1">
        <f t="array" ref="AP336">IF($C336&lt;&gt;"bitte wählen",INDEX(ListeLebensmittelIFEU,AP$189+1,$P336),"")</f>
        <v/>
      </c>
      <c r="AQ336" s="334" t="str" cm="1">
        <f t="array" ref="AQ336">IF($C336&lt;&gt;"bitte wählen",INDEX(ListeLebensmittelIFEU,AQ$189+1,$P336),"")</f>
        <v/>
      </c>
      <c r="AR336" s="334" t="str" cm="1">
        <f t="array" ref="AR336">IF($C336&lt;&gt;"bitte wählen",INDEX(ListeLebensmittelIFEU,AR$189+1,$P336),"")</f>
        <v/>
      </c>
      <c r="AS336" s="334" t="str" cm="1">
        <f t="array" ref="AS336">IF($C336&lt;&gt;"bitte wählen",INDEX(ListeLebensmittelIFEU,AS$189+1,$P336),"")</f>
        <v/>
      </c>
      <c r="AT336" s="334" t="str" cm="1">
        <f t="array" ref="AT336">IF($C336&lt;&gt;"bitte wählen",INDEX(ListeLebensmittelIFEU,AT$189+1,$P336),"")</f>
        <v/>
      </c>
      <c r="AU336" s="334" t="str" cm="1">
        <f t="array" ref="AU336">IF($C336&lt;&gt;"bitte wählen",INDEX(ListeLebensmittelIFEU,AU$189+1,$P336),"")</f>
        <v/>
      </c>
      <c r="AV336" s="334" t="str" cm="1">
        <f t="array" ref="AV336">IF($C336&lt;&gt;"bitte wählen",INDEX(ListeLebensmittelIFEU,AV$189+1,$P336),"")</f>
        <v/>
      </c>
      <c r="AW336" s="334" t="str" cm="1">
        <f t="array" ref="AW336">IF($C336&lt;&gt;"bitte wählen",INDEX(ListeLebensmittelIFEU,AW$189+1,$P336),"")</f>
        <v/>
      </c>
      <c r="AX336" s="334" t="str" cm="1">
        <f t="array" ref="AX336">IF($C336&lt;&gt;"bitte wählen",INDEX(ListeLebensmittelIFEU,AX$189+1,$P336),"")</f>
        <v/>
      </c>
      <c r="AY336" s="334" t="str" cm="1">
        <f t="array" ref="AY336">IF($C336&lt;&gt;"bitte wählen",INDEX(ListeLebensmittelIFEU,AY$189+1,$P336),"")</f>
        <v/>
      </c>
      <c r="AZ336" s="335" t="str" cm="1">
        <f t="array" ref="AZ336">IF($C336&lt;&gt;"bitte wählen",INDEX(ListeLebensmittelIFEU,AZ$189+1,$P336),"")</f>
        <v/>
      </c>
    </row>
    <row r="337" spans="1:52" x14ac:dyDescent="0.3">
      <c r="B337" t="s">
        <v>330</v>
      </c>
      <c r="C337" s="471" t="s">
        <v>27</v>
      </c>
      <c r="D337" s="472"/>
      <c r="E337" s="349"/>
      <c r="F337" s="473" t="s">
        <v>12</v>
      </c>
      <c r="G337" s="350" t="str">
        <f t="shared" si="74"/>
        <v/>
      </c>
      <c r="H337" s="293" t="str">
        <f t="shared" si="75"/>
        <v/>
      </c>
      <c r="P337" s="333">
        <f t="shared" si="76"/>
        <v>22</v>
      </c>
      <c r="Q337" s="334" t="e">
        <f t="shared" si="79"/>
        <v>#N/A</v>
      </c>
      <c r="R337" s="359">
        <f t="shared" si="77"/>
        <v>0</v>
      </c>
      <c r="S337" s="380">
        <f t="shared" si="78"/>
        <v>0</v>
      </c>
      <c r="T337" s="333" t="str" cm="1">
        <f t="array" ref="T337">IF($C337&lt;&gt;"bitte wählen",INDEX(ListeLebensmittelIFEU,T$189+1,$P337),"")</f>
        <v/>
      </c>
      <c r="U337" s="334" t="str" cm="1">
        <f t="array" ref="U337">IF($C337&lt;&gt;"bitte wählen",INDEX(ListeLebensmittelIFEU,U$189+1,$P337),"")</f>
        <v/>
      </c>
      <c r="V337" s="334" t="str" cm="1">
        <f t="array" ref="V337">IF($C337&lt;&gt;"bitte wählen",INDEX(ListeLebensmittelIFEU,V$189+1,$P337),"")</f>
        <v/>
      </c>
      <c r="W337" s="334" t="str" cm="1">
        <f t="array" ref="W337">IF($C337&lt;&gt;"bitte wählen",INDEX(ListeLebensmittelIFEU,W$189+1,$P337),"")</f>
        <v/>
      </c>
      <c r="X337" s="334" t="str" cm="1">
        <f t="array" ref="X337">IF($C337&lt;&gt;"bitte wählen",INDEX(ListeLebensmittelIFEU,X$189+1,$P337),"")</f>
        <v/>
      </c>
      <c r="Y337" s="334" t="str" cm="1">
        <f t="array" ref="Y337">IF($C337&lt;&gt;"bitte wählen",INDEX(ListeLebensmittelIFEU,Y$189+1,$P337),"")</f>
        <v/>
      </c>
      <c r="Z337" s="334" t="str" cm="1">
        <f t="array" ref="Z337">IF($C337&lt;&gt;"bitte wählen",INDEX(ListeLebensmittelIFEU,Z$189+1,$P337),"")</f>
        <v/>
      </c>
      <c r="AA337" s="334" t="str" cm="1">
        <f t="array" ref="AA337">IF($C337&lt;&gt;"bitte wählen",INDEX(ListeLebensmittelIFEU,AA$189+1,$P337),"")</f>
        <v/>
      </c>
      <c r="AB337" s="334" t="str" cm="1">
        <f t="array" ref="AB337">IF($C337&lt;&gt;"bitte wählen",INDEX(ListeLebensmittelIFEU,AB$189+1,$P337),"")</f>
        <v/>
      </c>
      <c r="AC337" s="334" t="str" cm="1">
        <f t="array" ref="AC337">IF($C337&lt;&gt;"bitte wählen",INDEX(ListeLebensmittelIFEU,AC$189+1,$P337),"")</f>
        <v/>
      </c>
      <c r="AD337" s="334" t="str" cm="1">
        <f t="array" ref="AD337">IF($C337&lt;&gt;"bitte wählen",INDEX(ListeLebensmittelIFEU,AD$189+1,$P337),"")</f>
        <v/>
      </c>
      <c r="AE337" s="334" t="str" cm="1">
        <f t="array" ref="AE337">IF($C337&lt;&gt;"bitte wählen",INDEX(ListeLebensmittelIFEU,AE$189+1,$P337),"")</f>
        <v/>
      </c>
      <c r="AF337" s="334" t="str" cm="1">
        <f t="array" ref="AF337">IF($C337&lt;&gt;"bitte wählen",INDEX(ListeLebensmittelIFEU,AF$189+1,$P337),"")</f>
        <v/>
      </c>
      <c r="AG337" s="334" t="str" cm="1">
        <f t="array" ref="AG337">IF($C337&lt;&gt;"bitte wählen",INDEX(ListeLebensmittelIFEU,AG$189+1,$P337),"")</f>
        <v/>
      </c>
      <c r="AH337" s="334" t="str" cm="1">
        <f t="array" ref="AH337">IF($C337&lt;&gt;"bitte wählen",INDEX(ListeLebensmittelIFEU,AH$189+1,$P337),"")</f>
        <v/>
      </c>
      <c r="AI337" s="334" t="str" cm="1">
        <f t="array" ref="AI337">IF($C337&lt;&gt;"bitte wählen",INDEX(ListeLebensmittelIFEU,AI$189+1,$P337),"")</f>
        <v/>
      </c>
      <c r="AJ337" s="334" t="str" cm="1">
        <f t="array" ref="AJ337">IF($C337&lt;&gt;"bitte wählen",INDEX(ListeLebensmittelIFEU,AJ$189+1,$P337),"")</f>
        <v/>
      </c>
      <c r="AK337" s="334" t="str" cm="1">
        <f t="array" ref="AK337">IF($C337&lt;&gt;"bitte wählen",INDEX(ListeLebensmittelIFEU,AK$189+1,$P337),"")</f>
        <v/>
      </c>
      <c r="AL337" s="334" t="str" cm="1">
        <f t="array" ref="AL337">IF($C337&lt;&gt;"bitte wählen",INDEX(ListeLebensmittelIFEU,AL$189+1,$P337),"")</f>
        <v/>
      </c>
      <c r="AM337" s="334" t="str" cm="1">
        <f t="array" ref="AM337">IF($C337&lt;&gt;"bitte wählen",INDEX(ListeLebensmittelIFEU,AM$189+1,$P337),"")</f>
        <v/>
      </c>
      <c r="AN337" s="334" t="str" cm="1">
        <f t="array" ref="AN337">IF($C337&lt;&gt;"bitte wählen",INDEX(ListeLebensmittelIFEU,AN$189+1,$P337),"")</f>
        <v/>
      </c>
      <c r="AO337" s="334" t="str" cm="1">
        <f t="array" ref="AO337">IF($C337&lt;&gt;"bitte wählen",INDEX(ListeLebensmittelIFEU,AO$189+1,$P337),"")</f>
        <v/>
      </c>
      <c r="AP337" s="334" t="str" cm="1">
        <f t="array" ref="AP337">IF($C337&lt;&gt;"bitte wählen",INDEX(ListeLebensmittelIFEU,AP$189+1,$P337),"")</f>
        <v/>
      </c>
      <c r="AQ337" s="334" t="str" cm="1">
        <f t="array" ref="AQ337">IF($C337&lt;&gt;"bitte wählen",INDEX(ListeLebensmittelIFEU,AQ$189+1,$P337),"")</f>
        <v/>
      </c>
      <c r="AR337" s="334" t="str" cm="1">
        <f t="array" ref="AR337">IF($C337&lt;&gt;"bitte wählen",INDEX(ListeLebensmittelIFEU,AR$189+1,$P337),"")</f>
        <v/>
      </c>
      <c r="AS337" s="334" t="str" cm="1">
        <f t="array" ref="AS337">IF($C337&lt;&gt;"bitte wählen",INDEX(ListeLebensmittelIFEU,AS$189+1,$P337),"")</f>
        <v/>
      </c>
      <c r="AT337" s="334" t="str" cm="1">
        <f t="array" ref="AT337">IF($C337&lt;&gt;"bitte wählen",INDEX(ListeLebensmittelIFEU,AT$189+1,$P337),"")</f>
        <v/>
      </c>
      <c r="AU337" s="334" t="str" cm="1">
        <f t="array" ref="AU337">IF($C337&lt;&gt;"bitte wählen",INDEX(ListeLebensmittelIFEU,AU$189+1,$P337),"")</f>
        <v/>
      </c>
      <c r="AV337" s="334" t="str" cm="1">
        <f t="array" ref="AV337">IF($C337&lt;&gt;"bitte wählen",INDEX(ListeLebensmittelIFEU,AV$189+1,$P337),"")</f>
        <v/>
      </c>
      <c r="AW337" s="334" t="str" cm="1">
        <f t="array" ref="AW337">IF($C337&lt;&gt;"bitte wählen",INDEX(ListeLebensmittelIFEU,AW$189+1,$P337),"")</f>
        <v/>
      </c>
      <c r="AX337" s="334" t="str" cm="1">
        <f t="array" ref="AX337">IF($C337&lt;&gt;"bitte wählen",INDEX(ListeLebensmittelIFEU,AX$189+1,$P337),"")</f>
        <v/>
      </c>
      <c r="AY337" s="334" t="str" cm="1">
        <f t="array" ref="AY337">IF($C337&lt;&gt;"bitte wählen",INDEX(ListeLebensmittelIFEU,AY$189+1,$P337),"")</f>
        <v/>
      </c>
      <c r="AZ337" s="335" t="str" cm="1">
        <f t="array" ref="AZ337">IF($C337&lt;&gt;"bitte wählen",INDEX(ListeLebensmittelIFEU,AZ$189+1,$P337),"")</f>
        <v/>
      </c>
    </row>
    <row r="338" spans="1:52" x14ac:dyDescent="0.3">
      <c r="B338" t="s">
        <v>398</v>
      </c>
      <c r="C338" s="471" t="s">
        <v>27</v>
      </c>
      <c r="D338" s="472"/>
      <c r="E338" s="349"/>
      <c r="F338" s="473" t="s">
        <v>12</v>
      </c>
      <c r="G338" s="350" t="str">
        <f t="shared" si="74"/>
        <v/>
      </c>
      <c r="H338" s="293" t="str">
        <f t="shared" si="75"/>
        <v/>
      </c>
      <c r="P338" s="336">
        <f t="shared" si="76"/>
        <v>22</v>
      </c>
      <c r="Q338" s="337" t="e">
        <f t="shared" si="79"/>
        <v>#N/A</v>
      </c>
      <c r="R338" s="360">
        <f t="shared" si="77"/>
        <v>0</v>
      </c>
      <c r="S338" s="381">
        <f t="shared" si="78"/>
        <v>0</v>
      </c>
      <c r="T338" s="336" t="str" cm="1">
        <f t="array" ref="T338">IF($C338&lt;&gt;"bitte wählen",INDEX(ListeLebensmittelIFEU,T$189+1,$P338),"")</f>
        <v/>
      </c>
      <c r="U338" s="337" t="str" cm="1">
        <f t="array" ref="U338">IF($C338&lt;&gt;"bitte wählen",INDEX(ListeLebensmittelIFEU,U$189+1,$P338),"")</f>
        <v/>
      </c>
      <c r="V338" s="337" t="str" cm="1">
        <f t="array" ref="V338">IF($C338&lt;&gt;"bitte wählen",INDEX(ListeLebensmittelIFEU,V$189+1,$P338),"")</f>
        <v/>
      </c>
      <c r="W338" s="337" t="str" cm="1">
        <f t="array" ref="W338">IF($C338&lt;&gt;"bitte wählen",INDEX(ListeLebensmittelIFEU,W$189+1,$P338),"")</f>
        <v/>
      </c>
      <c r="X338" s="337" t="str" cm="1">
        <f t="array" ref="X338">IF($C338&lt;&gt;"bitte wählen",INDEX(ListeLebensmittelIFEU,X$189+1,$P338),"")</f>
        <v/>
      </c>
      <c r="Y338" s="337" t="str" cm="1">
        <f t="array" ref="Y338">IF($C338&lt;&gt;"bitte wählen",INDEX(ListeLebensmittelIFEU,Y$189+1,$P338),"")</f>
        <v/>
      </c>
      <c r="Z338" s="337" t="str" cm="1">
        <f t="array" ref="Z338">IF($C338&lt;&gt;"bitte wählen",INDEX(ListeLebensmittelIFEU,Z$189+1,$P338),"")</f>
        <v/>
      </c>
      <c r="AA338" s="337" t="str" cm="1">
        <f t="array" ref="AA338">IF($C338&lt;&gt;"bitte wählen",INDEX(ListeLebensmittelIFEU,AA$189+1,$P338),"")</f>
        <v/>
      </c>
      <c r="AB338" s="337" t="str" cm="1">
        <f t="array" ref="AB338">IF($C338&lt;&gt;"bitte wählen",INDEX(ListeLebensmittelIFEU,AB$189+1,$P338),"")</f>
        <v/>
      </c>
      <c r="AC338" s="337" t="str" cm="1">
        <f t="array" ref="AC338">IF($C338&lt;&gt;"bitte wählen",INDEX(ListeLebensmittelIFEU,AC$189+1,$P338),"")</f>
        <v/>
      </c>
      <c r="AD338" s="337" t="str" cm="1">
        <f t="array" ref="AD338">IF($C338&lt;&gt;"bitte wählen",INDEX(ListeLebensmittelIFEU,AD$189+1,$P338),"")</f>
        <v/>
      </c>
      <c r="AE338" s="337" t="str" cm="1">
        <f t="array" ref="AE338">IF($C338&lt;&gt;"bitte wählen",INDEX(ListeLebensmittelIFEU,AE$189+1,$P338),"")</f>
        <v/>
      </c>
      <c r="AF338" s="337" t="str" cm="1">
        <f t="array" ref="AF338">IF($C338&lt;&gt;"bitte wählen",INDEX(ListeLebensmittelIFEU,AF$189+1,$P338),"")</f>
        <v/>
      </c>
      <c r="AG338" s="337" t="str" cm="1">
        <f t="array" ref="AG338">IF($C338&lt;&gt;"bitte wählen",INDEX(ListeLebensmittelIFEU,AG$189+1,$P338),"")</f>
        <v/>
      </c>
      <c r="AH338" s="337" t="str" cm="1">
        <f t="array" ref="AH338">IF($C338&lt;&gt;"bitte wählen",INDEX(ListeLebensmittelIFEU,AH$189+1,$P338),"")</f>
        <v/>
      </c>
      <c r="AI338" s="337" t="str" cm="1">
        <f t="array" ref="AI338">IF($C338&lt;&gt;"bitte wählen",INDEX(ListeLebensmittelIFEU,AI$189+1,$P338),"")</f>
        <v/>
      </c>
      <c r="AJ338" s="337" t="str" cm="1">
        <f t="array" ref="AJ338">IF($C338&lt;&gt;"bitte wählen",INDEX(ListeLebensmittelIFEU,AJ$189+1,$P338),"")</f>
        <v/>
      </c>
      <c r="AK338" s="337" t="str" cm="1">
        <f t="array" ref="AK338">IF($C338&lt;&gt;"bitte wählen",INDEX(ListeLebensmittelIFEU,AK$189+1,$P338),"")</f>
        <v/>
      </c>
      <c r="AL338" s="337" t="str" cm="1">
        <f t="array" ref="AL338">IF($C338&lt;&gt;"bitte wählen",INDEX(ListeLebensmittelIFEU,AL$189+1,$P338),"")</f>
        <v/>
      </c>
      <c r="AM338" s="337" t="str" cm="1">
        <f t="array" ref="AM338">IF($C338&lt;&gt;"bitte wählen",INDEX(ListeLebensmittelIFEU,AM$189+1,$P338),"")</f>
        <v/>
      </c>
      <c r="AN338" s="337" t="str" cm="1">
        <f t="array" ref="AN338">IF($C338&lt;&gt;"bitte wählen",INDEX(ListeLebensmittelIFEU,AN$189+1,$P338),"")</f>
        <v/>
      </c>
      <c r="AO338" s="337" t="str" cm="1">
        <f t="array" ref="AO338">IF($C338&lt;&gt;"bitte wählen",INDEX(ListeLebensmittelIFEU,AO$189+1,$P338),"")</f>
        <v/>
      </c>
      <c r="AP338" s="337" t="str" cm="1">
        <f t="array" ref="AP338">IF($C338&lt;&gt;"bitte wählen",INDEX(ListeLebensmittelIFEU,AP$189+1,$P338),"")</f>
        <v/>
      </c>
      <c r="AQ338" s="337" t="str" cm="1">
        <f t="array" ref="AQ338">IF($C338&lt;&gt;"bitte wählen",INDEX(ListeLebensmittelIFEU,AQ$189+1,$P338),"")</f>
        <v/>
      </c>
      <c r="AR338" s="337" t="str" cm="1">
        <f t="array" ref="AR338">IF($C338&lt;&gt;"bitte wählen",INDEX(ListeLebensmittelIFEU,AR$189+1,$P338),"")</f>
        <v/>
      </c>
      <c r="AS338" s="337" t="str" cm="1">
        <f t="array" ref="AS338">IF($C338&lt;&gt;"bitte wählen",INDEX(ListeLebensmittelIFEU,AS$189+1,$P338),"")</f>
        <v/>
      </c>
      <c r="AT338" s="337" t="str" cm="1">
        <f t="array" ref="AT338">IF($C338&lt;&gt;"bitte wählen",INDEX(ListeLebensmittelIFEU,AT$189+1,$P338),"")</f>
        <v/>
      </c>
      <c r="AU338" s="337" t="str" cm="1">
        <f t="array" ref="AU338">IF($C338&lt;&gt;"bitte wählen",INDEX(ListeLebensmittelIFEU,AU$189+1,$P338),"")</f>
        <v/>
      </c>
      <c r="AV338" s="337" t="str" cm="1">
        <f t="array" ref="AV338">IF($C338&lt;&gt;"bitte wählen",INDEX(ListeLebensmittelIFEU,AV$189+1,$P338),"")</f>
        <v/>
      </c>
      <c r="AW338" s="337" t="str" cm="1">
        <f t="array" ref="AW338">IF($C338&lt;&gt;"bitte wählen",INDEX(ListeLebensmittelIFEU,AW$189+1,$P338),"")</f>
        <v/>
      </c>
      <c r="AX338" s="337" t="str" cm="1">
        <f t="array" ref="AX338">IF($C338&lt;&gt;"bitte wählen",INDEX(ListeLebensmittelIFEU,AX$189+1,$P338),"")</f>
        <v/>
      </c>
      <c r="AY338" s="337" t="str" cm="1">
        <f t="array" ref="AY338">IF($C338&lt;&gt;"bitte wählen",INDEX(ListeLebensmittelIFEU,AY$189+1,$P338),"")</f>
        <v/>
      </c>
      <c r="AZ338" s="338" t="str" cm="1">
        <f t="array" ref="AZ338">IF($C338&lt;&gt;"bitte wählen",INDEX(ListeLebensmittelIFEU,AZ$189+1,$P338),"")</f>
        <v/>
      </c>
    </row>
    <row r="339" spans="1:52" x14ac:dyDescent="0.3">
      <c r="B339" s="105" t="str">
        <f>IF(R339,IF(E339/IF(D331="",1,D331)&lt;GewichtMittagessenMin,"Hinweis: Dies scheint eine relativ kleine Portion zu sein",IF(E339/IF(D331="",1,D331)&gt;GewichtMittagessenMax,"Hinweis: Dies scheint eine relativ große Portion zu sein","")),"")</f>
        <v/>
      </c>
      <c r="C339" s="78"/>
      <c r="D339" s="78"/>
      <c r="E339" s="355">
        <f>SUM(E333:E338)-SUMIF(C333:C338,"Getränke",E333:E338)</f>
        <v>0</v>
      </c>
      <c r="F339" s="78"/>
      <c r="G339" s="15" t="s">
        <v>622</v>
      </c>
      <c r="H339" s="293">
        <f>SUM(H333:H338)</f>
        <v>0</v>
      </c>
      <c r="Q339" s="383" t="s">
        <v>1030</v>
      </c>
      <c r="R339" s="386" t="b">
        <f>IF(SUM(R333:R338)&gt;0,TRUE,FALSE)</f>
        <v>0</v>
      </c>
      <c r="S339" s="383">
        <f>SUM(S333:S338)</f>
        <v>0</v>
      </c>
      <c r="T339" s="383" t="s">
        <v>1029</v>
      </c>
      <c r="U339" s="383" t="str">
        <f>IF(R339,IF(S339&gt;9,10,IF(S339&gt;0,1,0)),"")</f>
        <v/>
      </c>
    </row>
    <row r="340" spans="1:52" x14ac:dyDescent="0.3">
      <c r="B340" s="385" t="str">
        <f>IF(U339=0,"🌱 vegan","")</f>
        <v/>
      </c>
      <c r="C340" s="105" t="str">
        <f>IF(U339=1,"Ⓥ vegetarisch","")</f>
        <v/>
      </c>
      <c r="D340" s="384" t="str">
        <f>IF(U339=10,"🥩 mit Fleisch/Fisch","")</f>
        <v/>
      </c>
      <c r="E340" s="78"/>
      <c r="G340" s="15" t="s">
        <v>623</v>
      </c>
      <c r="H340" s="294">
        <f>IF(D331="",H339,H339/D331)</f>
        <v>0</v>
      </c>
    </row>
    <row r="341" spans="1:52" x14ac:dyDescent="0.3">
      <c r="C341" s="78"/>
      <c r="D341" s="78"/>
      <c r="E341" s="78"/>
      <c r="G341" s="15"/>
      <c r="H341" s="15"/>
    </row>
    <row r="342" spans="1:52" ht="18" thickBot="1" x14ac:dyDescent="0.4">
      <c r="B342" s="496" t="str">
        <f>"CO₂-Bilanz Gericht 13: "&amp;D343</f>
        <v>CO₂-Bilanz Gericht 13: Menü 13</v>
      </c>
      <c r="C342" s="496"/>
      <c r="D342" s="496"/>
      <c r="E342" s="496"/>
      <c r="T342" s="84"/>
    </row>
    <row r="343" spans="1:52" ht="15" thickTop="1" x14ac:dyDescent="0.3">
      <c r="B343" t="s">
        <v>994</v>
      </c>
      <c r="D343" s="288" t="s">
        <v>1016</v>
      </c>
      <c r="F343" s="78"/>
      <c r="G343" s="78"/>
      <c r="H343" s="78"/>
      <c r="I343" s="78"/>
    </row>
    <row r="344" spans="1:52" x14ac:dyDescent="0.3">
      <c r="B344" t="s">
        <v>995</v>
      </c>
      <c r="C344" s="78"/>
      <c r="D344" s="291">
        <v>1</v>
      </c>
      <c r="E344" s="301" t="str">
        <f>IF(ISNUMBER(FIND("g",_xlfn.CONCAT(E346:E351))),"Bitte Menge als reine Zahl ohne Zusatz g eingeben","")</f>
        <v/>
      </c>
      <c r="G344" s="78"/>
      <c r="H344" s="78"/>
      <c r="T344" s="329" t="s">
        <v>918</v>
      </c>
      <c r="U344" s="330"/>
      <c r="V344" s="330"/>
      <c r="W344" s="330"/>
      <c r="X344" s="330"/>
      <c r="Y344" s="330"/>
    </row>
    <row r="345" spans="1:52" ht="44.4" x14ac:dyDescent="0.35">
      <c r="A345" s="376" t="s">
        <v>1217</v>
      </c>
      <c r="C345" s="297" t="s">
        <v>993</v>
      </c>
      <c r="D345" s="313" t="s">
        <v>992</v>
      </c>
      <c r="E345" s="298" t="s">
        <v>323</v>
      </c>
      <c r="F345" s="298" t="s">
        <v>324</v>
      </c>
      <c r="G345" s="296" t="s">
        <v>534</v>
      </c>
      <c r="H345" s="296" t="s">
        <v>535</v>
      </c>
      <c r="P345" s="356" t="s">
        <v>956</v>
      </c>
      <c r="Q345" s="356" t="s">
        <v>957</v>
      </c>
      <c r="R345" s="357" t="s">
        <v>958</v>
      </c>
      <c r="S345" s="357" t="s">
        <v>1028</v>
      </c>
      <c r="T345" s="361">
        <v>1</v>
      </c>
      <c r="U345" s="362">
        <v>2</v>
      </c>
      <c r="V345" s="362">
        <v>3</v>
      </c>
      <c r="W345" s="362">
        <v>4</v>
      </c>
      <c r="X345" s="362">
        <v>5</v>
      </c>
      <c r="Y345" s="362">
        <v>6</v>
      </c>
      <c r="Z345" s="362">
        <v>7</v>
      </c>
      <c r="AA345" s="362">
        <v>8</v>
      </c>
      <c r="AB345" s="362">
        <v>9</v>
      </c>
      <c r="AC345" s="362">
        <v>10</v>
      </c>
      <c r="AD345" s="362">
        <v>11</v>
      </c>
      <c r="AE345" s="362">
        <v>12</v>
      </c>
      <c r="AF345" s="362">
        <v>13</v>
      </c>
      <c r="AG345" s="362">
        <v>14</v>
      </c>
      <c r="AH345" s="362">
        <v>15</v>
      </c>
      <c r="AI345" s="362">
        <v>16</v>
      </c>
      <c r="AJ345" s="362">
        <v>17</v>
      </c>
      <c r="AK345" s="362">
        <v>18</v>
      </c>
      <c r="AL345" s="362">
        <v>19</v>
      </c>
      <c r="AM345" s="362">
        <v>20</v>
      </c>
      <c r="AN345" s="362">
        <v>21</v>
      </c>
      <c r="AO345" s="362">
        <v>22</v>
      </c>
      <c r="AP345" s="362">
        <v>23</v>
      </c>
      <c r="AQ345" s="362">
        <v>24</v>
      </c>
      <c r="AR345" s="362">
        <v>25</v>
      </c>
      <c r="AS345" s="362">
        <v>26</v>
      </c>
      <c r="AT345" s="362">
        <v>27</v>
      </c>
      <c r="AU345" s="362">
        <v>28</v>
      </c>
      <c r="AV345" s="362">
        <v>29</v>
      </c>
      <c r="AW345" s="362">
        <v>30</v>
      </c>
      <c r="AX345" s="362">
        <v>31</v>
      </c>
      <c r="AY345" s="362">
        <v>32</v>
      </c>
      <c r="AZ345" s="363">
        <v>33</v>
      </c>
    </row>
    <row r="346" spans="1:52" x14ac:dyDescent="0.3">
      <c r="B346" t="s">
        <v>13</v>
      </c>
      <c r="C346" s="471" t="s">
        <v>27</v>
      </c>
      <c r="D346" s="472"/>
      <c r="E346" s="470"/>
      <c r="F346" s="473" t="s">
        <v>12</v>
      </c>
      <c r="G346" s="350" t="str">
        <f t="shared" ref="G346:G351" si="80">IF(D346="","",R346*IF(F346="Ja",FaktorBeiLokalemProdukt,1))</f>
        <v/>
      </c>
      <c r="H346" s="293" t="str">
        <f t="shared" ref="H346:H351" si="81">IF(D346="","",E346*G346)</f>
        <v/>
      </c>
      <c r="P346" s="331">
        <f t="shared" ref="P346:P351" si="82">VLOOKUP(C346,$C$457:$D$464,2,FALSE)</f>
        <v>22</v>
      </c>
      <c r="Q346" s="332" t="e">
        <f>MATCH(D346,T346:AZ346,0)</f>
        <v>#N/A</v>
      </c>
      <c r="R346" s="358">
        <f t="shared" ref="R346:R351" si="83">_xlfn.IFNA(IF(D346&lt;&gt;"",VLOOKUP(D346,$C$544:$E$774,2,FALSE),0),0)</f>
        <v>0</v>
      </c>
      <c r="S346" s="358">
        <f t="shared" ref="S346:S351" si="84">_xlfn.IFNA(IF(D346&lt;&gt;"",VLOOKUP(D346,$C$544:$E$774,3,FALSE),0),0)</f>
        <v>0</v>
      </c>
      <c r="T346" s="333" t="str" cm="1">
        <f t="array" ref="T346">IF($C346&lt;&gt;"bitte wählen",INDEX(ListeLebensmittelIFEU,T$189+1,$P346),"")</f>
        <v/>
      </c>
      <c r="U346" s="334" t="str" cm="1">
        <f t="array" ref="U346">IF($C346&lt;&gt;"bitte wählen",INDEX(ListeLebensmittelIFEU,U$189+1,$P346),"")</f>
        <v/>
      </c>
      <c r="V346" s="334" t="str" cm="1">
        <f t="array" ref="V346">IF($C346&lt;&gt;"bitte wählen",INDEX(ListeLebensmittelIFEU,V$189+1,$P346),"")</f>
        <v/>
      </c>
      <c r="W346" s="334" t="str" cm="1">
        <f t="array" ref="W346">IF($C346&lt;&gt;"bitte wählen",INDEX(ListeLebensmittelIFEU,W$189+1,$P346),"")</f>
        <v/>
      </c>
      <c r="X346" s="334" t="str" cm="1">
        <f t="array" ref="X346">IF($C346&lt;&gt;"bitte wählen",INDEX(ListeLebensmittelIFEU,X$189+1,$P346),"")</f>
        <v/>
      </c>
      <c r="Y346" s="334" t="str" cm="1">
        <f t="array" ref="Y346">IF($C346&lt;&gt;"bitte wählen",INDEX(ListeLebensmittelIFEU,Y$189+1,$P346),"")</f>
        <v/>
      </c>
      <c r="Z346" s="334" t="str" cm="1">
        <f t="array" ref="Z346">IF($C346&lt;&gt;"bitte wählen",INDEX(ListeLebensmittelIFEU,Z$189+1,$P346),"")</f>
        <v/>
      </c>
      <c r="AA346" s="334" t="str" cm="1">
        <f t="array" ref="AA346">IF($C346&lt;&gt;"bitte wählen",INDEX(ListeLebensmittelIFEU,AA$189+1,$P346),"")</f>
        <v/>
      </c>
      <c r="AB346" s="334" t="str" cm="1">
        <f t="array" ref="AB346">IF($C346&lt;&gt;"bitte wählen",INDEX(ListeLebensmittelIFEU,AB$189+1,$P346),"")</f>
        <v/>
      </c>
      <c r="AC346" s="334" t="str" cm="1">
        <f t="array" ref="AC346">IF($C346&lt;&gt;"bitte wählen",INDEX(ListeLebensmittelIFEU,AC$189+1,$P346),"")</f>
        <v/>
      </c>
      <c r="AD346" s="334" t="str" cm="1">
        <f t="array" ref="AD346">IF($C346&lt;&gt;"bitte wählen",INDEX(ListeLebensmittelIFEU,AD$189+1,$P346),"")</f>
        <v/>
      </c>
      <c r="AE346" s="334" t="str" cm="1">
        <f t="array" ref="AE346">IF($C346&lt;&gt;"bitte wählen",INDEX(ListeLebensmittelIFEU,AE$189+1,$P346),"")</f>
        <v/>
      </c>
      <c r="AF346" s="334" t="str" cm="1">
        <f t="array" ref="AF346">IF($C346&lt;&gt;"bitte wählen",INDEX(ListeLebensmittelIFEU,AF$189+1,$P346),"")</f>
        <v/>
      </c>
      <c r="AG346" s="334" t="str" cm="1">
        <f t="array" ref="AG346">IF($C346&lt;&gt;"bitte wählen",INDEX(ListeLebensmittelIFEU,AG$189+1,$P346),"")</f>
        <v/>
      </c>
      <c r="AH346" s="334" t="str" cm="1">
        <f t="array" ref="AH346">IF($C346&lt;&gt;"bitte wählen",INDEX(ListeLebensmittelIFEU,AH$189+1,$P346),"")</f>
        <v/>
      </c>
      <c r="AI346" s="334" t="str" cm="1">
        <f t="array" ref="AI346">IF($C346&lt;&gt;"bitte wählen",INDEX(ListeLebensmittelIFEU,AI$189+1,$P346),"")</f>
        <v/>
      </c>
      <c r="AJ346" s="334" t="str" cm="1">
        <f t="array" ref="AJ346">IF($C346&lt;&gt;"bitte wählen",INDEX(ListeLebensmittelIFEU,AJ$189+1,$P346),"")</f>
        <v/>
      </c>
      <c r="AK346" s="334" t="str" cm="1">
        <f t="array" ref="AK346">IF($C346&lt;&gt;"bitte wählen",INDEX(ListeLebensmittelIFEU,AK$189+1,$P346),"")</f>
        <v/>
      </c>
      <c r="AL346" s="334" t="str" cm="1">
        <f t="array" ref="AL346">IF($C346&lt;&gt;"bitte wählen",INDEX(ListeLebensmittelIFEU,AL$189+1,$P346),"")</f>
        <v/>
      </c>
      <c r="AM346" s="334" t="str" cm="1">
        <f t="array" ref="AM346">IF($C346&lt;&gt;"bitte wählen",INDEX(ListeLebensmittelIFEU,AM$189+1,$P346),"")</f>
        <v/>
      </c>
      <c r="AN346" s="334" t="str" cm="1">
        <f t="array" ref="AN346">IF($C346&lt;&gt;"bitte wählen",INDEX(ListeLebensmittelIFEU,AN$189+1,$P346),"")</f>
        <v/>
      </c>
      <c r="AO346" s="334" t="str" cm="1">
        <f t="array" ref="AO346">IF($C346&lt;&gt;"bitte wählen",INDEX(ListeLebensmittelIFEU,AO$189+1,$P346),"")</f>
        <v/>
      </c>
      <c r="AP346" s="334" t="str" cm="1">
        <f t="array" ref="AP346">IF($C346&lt;&gt;"bitte wählen",INDEX(ListeLebensmittelIFEU,AP$189+1,$P346),"")</f>
        <v/>
      </c>
      <c r="AQ346" s="334" t="str" cm="1">
        <f t="array" ref="AQ346">IF($C346&lt;&gt;"bitte wählen",INDEX(ListeLebensmittelIFEU,AQ$189+1,$P346),"")</f>
        <v/>
      </c>
      <c r="AR346" s="334" t="str" cm="1">
        <f t="array" ref="AR346">IF($C346&lt;&gt;"bitte wählen",INDEX(ListeLebensmittelIFEU,AR$189+1,$P346),"")</f>
        <v/>
      </c>
      <c r="AS346" s="334" t="str" cm="1">
        <f t="array" ref="AS346">IF($C346&lt;&gt;"bitte wählen",INDEX(ListeLebensmittelIFEU,AS$189+1,$P346),"")</f>
        <v/>
      </c>
      <c r="AT346" s="334" t="str" cm="1">
        <f t="array" ref="AT346">IF($C346&lt;&gt;"bitte wählen",INDEX(ListeLebensmittelIFEU,AT$189+1,$P346),"")</f>
        <v/>
      </c>
      <c r="AU346" s="334" t="str" cm="1">
        <f t="array" ref="AU346">IF($C346&lt;&gt;"bitte wählen",INDEX(ListeLebensmittelIFEU,AU$189+1,$P346),"")</f>
        <v/>
      </c>
      <c r="AV346" s="334" t="str" cm="1">
        <f t="array" ref="AV346">IF($C346&lt;&gt;"bitte wählen",INDEX(ListeLebensmittelIFEU,AV$189+1,$P346),"")</f>
        <v/>
      </c>
      <c r="AW346" s="334" t="str" cm="1">
        <f t="array" ref="AW346">IF($C346&lt;&gt;"bitte wählen",INDEX(ListeLebensmittelIFEU,AW$189+1,$P346),"")</f>
        <v/>
      </c>
      <c r="AX346" s="334" t="str" cm="1">
        <f t="array" ref="AX346">IF($C346&lt;&gt;"bitte wählen",INDEX(ListeLebensmittelIFEU,AX$189+1,$P346),"")</f>
        <v/>
      </c>
      <c r="AY346" s="334" t="str" cm="1">
        <f t="array" ref="AY346">IF($C346&lt;&gt;"bitte wählen",INDEX(ListeLebensmittelIFEU,AY$189+1,$P346),"")</f>
        <v/>
      </c>
      <c r="AZ346" s="335" t="str" cm="1">
        <f t="array" ref="AZ346">IF($C346&lt;&gt;"bitte wählen",INDEX(ListeLebensmittelIFEU,AZ$189+1,$P346),"")</f>
        <v/>
      </c>
    </row>
    <row r="347" spans="1:52" x14ac:dyDescent="0.3">
      <c r="B347" t="s">
        <v>327</v>
      </c>
      <c r="C347" s="471" t="s">
        <v>27</v>
      </c>
      <c r="D347" s="472"/>
      <c r="E347" s="349"/>
      <c r="F347" s="473" t="s">
        <v>12</v>
      </c>
      <c r="G347" s="350" t="str">
        <f t="shared" si="80"/>
        <v/>
      </c>
      <c r="H347" s="293" t="str">
        <f t="shared" si="81"/>
        <v/>
      </c>
      <c r="P347" s="333">
        <f t="shared" si="82"/>
        <v>22</v>
      </c>
      <c r="Q347" s="334" t="e">
        <f t="shared" ref="Q347:Q351" si="85">MATCH(D347,T347:AZ347,0)</f>
        <v>#N/A</v>
      </c>
      <c r="R347" s="359">
        <f t="shared" si="83"/>
        <v>0</v>
      </c>
      <c r="S347" s="380">
        <f t="shared" si="84"/>
        <v>0</v>
      </c>
      <c r="T347" s="333" t="str" cm="1">
        <f t="array" ref="T347">IF($C347&lt;&gt;"bitte wählen",INDEX(ListeLebensmittelIFEU,T$189+1,$P347),"")</f>
        <v/>
      </c>
      <c r="U347" s="334" t="str" cm="1">
        <f t="array" ref="U347">IF($C347&lt;&gt;"bitte wählen",INDEX(ListeLebensmittelIFEU,U$189+1,$P347),"")</f>
        <v/>
      </c>
      <c r="V347" s="334" t="str" cm="1">
        <f t="array" ref="V347">IF($C347&lt;&gt;"bitte wählen",INDEX(ListeLebensmittelIFEU,V$189+1,$P347),"")</f>
        <v/>
      </c>
      <c r="W347" s="334" t="str" cm="1">
        <f t="array" ref="W347">IF($C347&lt;&gt;"bitte wählen",INDEX(ListeLebensmittelIFEU,W$189+1,$P347),"")</f>
        <v/>
      </c>
      <c r="X347" s="334" t="str" cm="1">
        <f t="array" ref="X347">IF($C347&lt;&gt;"bitte wählen",INDEX(ListeLebensmittelIFEU,X$189+1,$P347),"")</f>
        <v/>
      </c>
      <c r="Y347" s="334" t="str" cm="1">
        <f t="array" ref="Y347">IF($C347&lt;&gt;"bitte wählen",INDEX(ListeLebensmittelIFEU,Y$189+1,$P347),"")</f>
        <v/>
      </c>
      <c r="Z347" s="334" t="str" cm="1">
        <f t="array" ref="Z347">IF($C347&lt;&gt;"bitte wählen",INDEX(ListeLebensmittelIFEU,Z$189+1,$P347),"")</f>
        <v/>
      </c>
      <c r="AA347" s="334" t="str" cm="1">
        <f t="array" ref="AA347">IF($C347&lt;&gt;"bitte wählen",INDEX(ListeLebensmittelIFEU,AA$189+1,$P347),"")</f>
        <v/>
      </c>
      <c r="AB347" s="334" t="str" cm="1">
        <f t="array" ref="AB347">IF($C347&lt;&gt;"bitte wählen",INDEX(ListeLebensmittelIFEU,AB$189+1,$P347),"")</f>
        <v/>
      </c>
      <c r="AC347" s="334" t="str" cm="1">
        <f t="array" ref="AC347">IF($C347&lt;&gt;"bitte wählen",INDEX(ListeLebensmittelIFEU,AC$189+1,$P347),"")</f>
        <v/>
      </c>
      <c r="AD347" s="334" t="str" cm="1">
        <f t="array" ref="AD347">IF($C347&lt;&gt;"bitte wählen",INDEX(ListeLebensmittelIFEU,AD$189+1,$P347),"")</f>
        <v/>
      </c>
      <c r="AE347" s="334" t="str" cm="1">
        <f t="array" ref="AE347">IF($C347&lt;&gt;"bitte wählen",INDEX(ListeLebensmittelIFEU,AE$189+1,$P347),"")</f>
        <v/>
      </c>
      <c r="AF347" s="334" t="str" cm="1">
        <f t="array" ref="AF347">IF($C347&lt;&gt;"bitte wählen",INDEX(ListeLebensmittelIFEU,AF$189+1,$P347),"")</f>
        <v/>
      </c>
      <c r="AG347" s="334" t="str" cm="1">
        <f t="array" ref="AG347">IF($C347&lt;&gt;"bitte wählen",INDEX(ListeLebensmittelIFEU,AG$189+1,$P347),"")</f>
        <v/>
      </c>
      <c r="AH347" s="334" t="str" cm="1">
        <f t="array" ref="AH347">IF($C347&lt;&gt;"bitte wählen",INDEX(ListeLebensmittelIFEU,AH$189+1,$P347),"")</f>
        <v/>
      </c>
      <c r="AI347" s="334" t="str" cm="1">
        <f t="array" ref="AI347">IF($C347&lt;&gt;"bitte wählen",INDEX(ListeLebensmittelIFEU,AI$189+1,$P347),"")</f>
        <v/>
      </c>
      <c r="AJ347" s="334" t="str" cm="1">
        <f t="array" ref="AJ347">IF($C347&lt;&gt;"bitte wählen",INDEX(ListeLebensmittelIFEU,AJ$189+1,$P347),"")</f>
        <v/>
      </c>
      <c r="AK347" s="334" t="str" cm="1">
        <f t="array" ref="AK347">IF($C347&lt;&gt;"bitte wählen",INDEX(ListeLebensmittelIFEU,AK$189+1,$P347),"")</f>
        <v/>
      </c>
      <c r="AL347" s="334" t="str" cm="1">
        <f t="array" ref="AL347">IF($C347&lt;&gt;"bitte wählen",INDEX(ListeLebensmittelIFEU,AL$189+1,$P347),"")</f>
        <v/>
      </c>
      <c r="AM347" s="334" t="str" cm="1">
        <f t="array" ref="AM347">IF($C347&lt;&gt;"bitte wählen",INDEX(ListeLebensmittelIFEU,AM$189+1,$P347),"")</f>
        <v/>
      </c>
      <c r="AN347" s="334" t="str" cm="1">
        <f t="array" ref="AN347">IF($C347&lt;&gt;"bitte wählen",INDEX(ListeLebensmittelIFEU,AN$189+1,$P347),"")</f>
        <v/>
      </c>
      <c r="AO347" s="334" t="str" cm="1">
        <f t="array" ref="AO347">IF($C347&lt;&gt;"bitte wählen",INDEX(ListeLebensmittelIFEU,AO$189+1,$P347),"")</f>
        <v/>
      </c>
      <c r="AP347" s="334" t="str" cm="1">
        <f t="array" ref="AP347">IF($C347&lt;&gt;"bitte wählen",INDEX(ListeLebensmittelIFEU,AP$189+1,$P347),"")</f>
        <v/>
      </c>
      <c r="AQ347" s="334" t="str" cm="1">
        <f t="array" ref="AQ347">IF($C347&lt;&gt;"bitte wählen",INDEX(ListeLebensmittelIFEU,AQ$189+1,$P347),"")</f>
        <v/>
      </c>
      <c r="AR347" s="334" t="str" cm="1">
        <f t="array" ref="AR347">IF($C347&lt;&gt;"bitte wählen",INDEX(ListeLebensmittelIFEU,AR$189+1,$P347),"")</f>
        <v/>
      </c>
      <c r="AS347" s="334" t="str" cm="1">
        <f t="array" ref="AS347">IF($C347&lt;&gt;"bitte wählen",INDEX(ListeLebensmittelIFEU,AS$189+1,$P347),"")</f>
        <v/>
      </c>
      <c r="AT347" s="334" t="str" cm="1">
        <f t="array" ref="AT347">IF($C347&lt;&gt;"bitte wählen",INDEX(ListeLebensmittelIFEU,AT$189+1,$P347),"")</f>
        <v/>
      </c>
      <c r="AU347" s="334" t="str" cm="1">
        <f t="array" ref="AU347">IF($C347&lt;&gt;"bitte wählen",INDEX(ListeLebensmittelIFEU,AU$189+1,$P347),"")</f>
        <v/>
      </c>
      <c r="AV347" s="334" t="str" cm="1">
        <f t="array" ref="AV347">IF($C347&lt;&gt;"bitte wählen",INDEX(ListeLebensmittelIFEU,AV$189+1,$P347),"")</f>
        <v/>
      </c>
      <c r="AW347" s="334" t="str" cm="1">
        <f t="array" ref="AW347">IF($C347&lt;&gt;"bitte wählen",INDEX(ListeLebensmittelIFEU,AW$189+1,$P347),"")</f>
        <v/>
      </c>
      <c r="AX347" s="334" t="str" cm="1">
        <f t="array" ref="AX347">IF($C347&lt;&gt;"bitte wählen",INDEX(ListeLebensmittelIFEU,AX$189+1,$P347),"")</f>
        <v/>
      </c>
      <c r="AY347" s="334" t="str" cm="1">
        <f t="array" ref="AY347">IF($C347&lt;&gt;"bitte wählen",INDEX(ListeLebensmittelIFEU,AY$189+1,$P347),"")</f>
        <v/>
      </c>
      <c r="AZ347" s="335" t="str" cm="1">
        <f t="array" ref="AZ347">IF($C347&lt;&gt;"bitte wählen",INDEX(ListeLebensmittelIFEU,AZ$189+1,$P347),"")</f>
        <v/>
      </c>
    </row>
    <row r="348" spans="1:52" x14ac:dyDescent="0.3">
      <c r="B348" t="s">
        <v>328</v>
      </c>
      <c r="C348" s="471" t="s">
        <v>27</v>
      </c>
      <c r="D348" s="472"/>
      <c r="E348" s="349"/>
      <c r="F348" s="473" t="s">
        <v>12</v>
      </c>
      <c r="G348" s="350" t="str">
        <f t="shared" si="80"/>
        <v/>
      </c>
      <c r="H348" s="293" t="str">
        <f t="shared" si="81"/>
        <v/>
      </c>
      <c r="P348" s="333">
        <f t="shared" si="82"/>
        <v>22</v>
      </c>
      <c r="Q348" s="334" t="e">
        <f t="shared" si="85"/>
        <v>#N/A</v>
      </c>
      <c r="R348" s="359">
        <f t="shared" si="83"/>
        <v>0</v>
      </c>
      <c r="S348" s="380">
        <f t="shared" si="84"/>
        <v>0</v>
      </c>
      <c r="T348" s="333" t="str" cm="1">
        <f t="array" ref="T348">IF($C348&lt;&gt;"bitte wählen",INDEX(ListeLebensmittelIFEU,T$189+1,$P348),"")</f>
        <v/>
      </c>
      <c r="U348" s="334" t="str" cm="1">
        <f t="array" ref="U348">IF($C348&lt;&gt;"bitte wählen",INDEX(ListeLebensmittelIFEU,U$189+1,$P348),"")</f>
        <v/>
      </c>
      <c r="V348" s="334" t="str" cm="1">
        <f t="array" ref="V348">IF($C348&lt;&gt;"bitte wählen",INDEX(ListeLebensmittelIFEU,V$189+1,$P348),"")</f>
        <v/>
      </c>
      <c r="W348" s="334" t="str" cm="1">
        <f t="array" ref="W348">IF($C348&lt;&gt;"bitte wählen",INDEX(ListeLebensmittelIFEU,W$189+1,$P348),"")</f>
        <v/>
      </c>
      <c r="X348" s="334" t="str" cm="1">
        <f t="array" ref="X348">IF($C348&lt;&gt;"bitte wählen",INDEX(ListeLebensmittelIFEU,X$189+1,$P348),"")</f>
        <v/>
      </c>
      <c r="Y348" s="334" t="str" cm="1">
        <f t="array" ref="Y348">IF($C348&lt;&gt;"bitte wählen",INDEX(ListeLebensmittelIFEU,Y$189+1,$P348),"")</f>
        <v/>
      </c>
      <c r="Z348" s="334" t="str" cm="1">
        <f t="array" ref="Z348">IF($C348&lt;&gt;"bitte wählen",INDEX(ListeLebensmittelIFEU,Z$189+1,$P348),"")</f>
        <v/>
      </c>
      <c r="AA348" s="334" t="str" cm="1">
        <f t="array" ref="AA348">IF($C348&lt;&gt;"bitte wählen",INDEX(ListeLebensmittelIFEU,AA$189+1,$P348),"")</f>
        <v/>
      </c>
      <c r="AB348" s="334" t="str" cm="1">
        <f t="array" ref="AB348">IF($C348&lt;&gt;"bitte wählen",INDEX(ListeLebensmittelIFEU,AB$189+1,$P348),"")</f>
        <v/>
      </c>
      <c r="AC348" s="334" t="str" cm="1">
        <f t="array" ref="AC348">IF($C348&lt;&gt;"bitte wählen",INDEX(ListeLebensmittelIFEU,AC$189+1,$P348),"")</f>
        <v/>
      </c>
      <c r="AD348" s="334" t="str" cm="1">
        <f t="array" ref="AD348">IF($C348&lt;&gt;"bitte wählen",INDEX(ListeLebensmittelIFEU,AD$189+1,$P348),"")</f>
        <v/>
      </c>
      <c r="AE348" s="334" t="str" cm="1">
        <f t="array" ref="AE348">IF($C348&lt;&gt;"bitte wählen",INDEX(ListeLebensmittelIFEU,AE$189+1,$P348),"")</f>
        <v/>
      </c>
      <c r="AF348" s="334" t="str" cm="1">
        <f t="array" ref="AF348">IF($C348&lt;&gt;"bitte wählen",INDEX(ListeLebensmittelIFEU,AF$189+1,$P348),"")</f>
        <v/>
      </c>
      <c r="AG348" s="334" t="str" cm="1">
        <f t="array" ref="AG348">IF($C348&lt;&gt;"bitte wählen",INDEX(ListeLebensmittelIFEU,AG$189+1,$P348),"")</f>
        <v/>
      </c>
      <c r="AH348" s="334" t="str" cm="1">
        <f t="array" ref="AH348">IF($C348&lt;&gt;"bitte wählen",INDEX(ListeLebensmittelIFEU,AH$189+1,$P348),"")</f>
        <v/>
      </c>
      <c r="AI348" s="334" t="str" cm="1">
        <f t="array" ref="AI348">IF($C348&lt;&gt;"bitte wählen",INDEX(ListeLebensmittelIFEU,AI$189+1,$P348),"")</f>
        <v/>
      </c>
      <c r="AJ348" s="334" t="str" cm="1">
        <f t="array" ref="AJ348">IF($C348&lt;&gt;"bitte wählen",INDEX(ListeLebensmittelIFEU,AJ$189+1,$P348),"")</f>
        <v/>
      </c>
      <c r="AK348" s="334" t="str" cm="1">
        <f t="array" ref="AK348">IF($C348&lt;&gt;"bitte wählen",INDEX(ListeLebensmittelIFEU,AK$189+1,$P348),"")</f>
        <v/>
      </c>
      <c r="AL348" s="334" t="str" cm="1">
        <f t="array" ref="AL348">IF($C348&lt;&gt;"bitte wählen",INDEX(ListeLebensmittelIFEU,AL$189+1,$P348),"")</f>
        <v/>
      </c>
      <c r="AM348" s="334" t="str" cm="1">
        <f t="array" ref="AM348">IF($C348&lt;&gt;"bitte wählen",INDEX(ListeLebensmittelIFEU,AM$189+1,$P348),"")</f>
        <v/>
      </c>
      <c r="AN348" s="334" t="str" cm="1">
        <f t="array" ref="AN348">IF($C348&lt;&gt;"bitte wählen",INDEX(ListeLebensmittelIFEU,AN$189+1,$P348),"")</f>
        <v/>
      </c>
      <c r="AO348" s="334" t="str" cm="1">
        <f t="array" ref="AO348">IF($C348&lt;&gt;"bitte wählen",INDEX(ListeLebensmittelIFEU,AO$189+1,$P348),"")</f>
        <v/>
      </c>
      <c r="AP348" s="334" t="str" cm="1">
        <f t="array" ref="AP348">IF($C348&lt;&gt;"bitte wählen",INDEX(ListeLebensmittelIFEU,AP$189+1,$P348),"")</f>
        <v/>
      </c>
      <c r="AQ348" s="334" t="str" cm="1">
        <f t="array" ref="AQ348">IF($C348&lt;&gt;"bitte wählen",INDEX(ListeLebensmittelIFEU,AQ$189+1,$P348),"")</f>
        <v/>
      </c>
      <c r="AR348" s="334" t="str" cm="1">
        <f t="array" ref="AR348">IF($C348&lt;&gt;"bitte wählen",INDEX(ListeLebensmittelIFEU,AR$189+1,$P348),"")</f>
        <v/>
      </c>
      <c r="AS348" s="334" t="str" cm="1">
        <f t="array" ref="AS348">IF($C348&lt;&gt;"bitte wählen",INDEX(ListeLebensmittelIFEU,AS$189+1,$P348),"")</f>
        <v/>
      </c>
      <c r="AT348" s="334" t="str" cm="1">
        <f t="array" ref="AT348">IF($C348&lt;&gt;"bitte wählen",INDEX(ListeLebensmittelIFEU,AT$189+1,$P348),"")</f>
        <v/>
      </c>
      <c r="AU348" s="334" t="str" cm="1">
        <f t="array" ref="AU348">IF($C348&lt;&gt;"bitte wählen",INDEX(ListeLebensmittelIFEU,AU$189+1,$P348),"")</f>
        <v/>
      </c>
      <c r="AV348" s="334" t="str" cm="1">
        <f t="array" ref="AV348">IF($C348&lt;&gt;"bitte wählen",INDEX(ListeLebensmittelIFEU,AV$189+1,$P348),"")</f>
        <v/>
      </c>
      <c r="AW348" s="334" t="str" cm="1">
        <f t="array" ref="AW348">IF($C348&lt;&gt;"bitte wählen",INDEX(ListeLebensmittelIFEU,AW$189+1,$P348),"")</f>
        <v/>
      </c>
      <c r="AX348" s="334" t="str" cm="1">
        <f t="array" ref="AX348">IF($C348&lt;&gt;"bitte wählen",INDEX(ListeLebensmittelIFEU,AX$189+1,$P348),"")</f>
        <v/>
      </c>
      <c r="AY348" s="334" t="str" cm="1">
        <f t="array" ref="AY348">IF($C348&lt;&gt;"bitte wählen",INDEX(ListeLebensmittelIFEU,AY$189+1,$P348),"")</f>
        <v/>
      </c>
      <c r="AZ348" s="335" t="str" cm="1">
        <f t="array" ref="AZ348">IF($C348&lt;&gt;"bitte wählen",INDEX(ListeLebensmittelIFEU,AZ$189+1,$P348),"")</f>
        <v/>
      </c>
    </row>
    <row r="349" spans="1:52" x14ac:dyDescent="0.3">
      <c r="B349" t="s">
        <v>329</v>
      </c>
      <c r="C349" s="471" t="s">
        <v>27</v>
      </c>
      <c r="D349" s="472"/>
      <c r="E349" s="349"/>
      <c r="F349" s="473" t="s">
        <v>12</v>
      </c>
      <c r="G349" s="350" t="str">
        <f t="shared" si="80"/>
        <v/>
      </c>
      <c r="H349" s="293" t="str">
        <f t="shared" si="81"/>
        <v/>
      </c>
      <c r="P349" s="333">
        <f t="shared" si="82"/>
        <v>22</v>
      </c>
      <c r="Q349" s="334" t="e">
        <f t="shared" si="85"/>
        <v>#N/A</v>
      </c>
      <c r="R349" s="359">
        <f t="shared" si="83"/>
        <v>0</v>
      </c>
      <c r="S349" s="380">
        <f t="shared" si="84"/>
        <v>0</v>
      </c>
      <c r="T349" s="333" t="str" cm="1">
        <f t="array" ref="T349">IF($C349&lt;&gt;"bitte wählen",INDEX(ListeLebensmittelIFEU,T$189+1,$P349),"")</f>
        <v/>
      </c>
      <c r="U349" s="334" t="str" cm="1">
        <f t="array" ref="U349">IF($C349&lt;&gt;"bitte wählen",INDEX(ListeLebensmittelIFEU,U$189+1,$P349),"")</f>
        <v/>
      </c>
      <c r="V349" s="334" t="str" cm="1">
        <f t="array" ref="V349">IF($C349&lt;&gt;"bitte wählen",INDEX(ListeLebensmittelIFEU,V$189+1,$P349),"")</f>
        <v/>
      </c>
      <c r="W349" s="334" t="str" cm="1">
        <f t="array" ref="W349">IF($C349&lt;&gt;"bitte wählen",INDEX(ListeLebensmittelIFEU,W$189+1,$P349),"")</f>
        <v/>
      </c>
      <c r="X349" s="334" t="str" cm="1">
        <f t="array" ref="X349">IF($C349&lt;&gt;"bitte wählen",INDEX(ListeLebensmittelIFEU,X$189+1,$P349),"")</f>
        <v/>
      </c>
      <c r="Y349" s="334" t="str" cm="1">
        <f t="array" ref="Y349">IF($C349&lt;&gt;"bitte wählen",INDEX(ListeLebensmittelIFEU,Y$189+1,$P349),"")</f>
        <v/>
      </c>
      <c r="Z349" s="334" t="str" cm="1">
        <f t="array" ref="Z349">IF($C349&lt;&gt;"bitte wählen",INDEX(ListeLebensmittelIFEU,Z$189+1,$P349),"")</f>
        <v/>
      </c>
      <c r="AA349" s="334" t="str" cm="1">
        <f t="array" ref="AA349">IF($C349&lt;&gt;"bitte wählen",INDEX(ListeLebensmittelIFEU,AA$189+1,$P349),"")</f>
        <v/>
      </c>
      <c r="AB349" s="334" t="str" cm="1">
        <f t="array" ref="AB349">IF($C349&lt;&gt;"bitte wählen",INDEX(ListeLebensmittelIFEU,AB$189+1,$P349),"")</f>
        <v/>
      </c>
      <c r="AC349" s="334" t="str" cm="1">
        <f t="array" ref="AC349">IF($C349&lt;&gt;"bitte wählen",INDEX(ListeLebensmittelIFEU,AC$189+1,$P349),"")</f>
        <v/>
      </c>
      <c r="AD349" s="334" t="str" cm="1">
        <f t="array" ref="AD349">IF($C349&lt;&gt;"bitte wählen",INDEX(ListeLebensmittelIFEU,AD$189+1,$P349),"")</f>
        <v/>
      </c>
      <c r="AE349" s="334" t="str" cm="1">
        <f t="array" ref="AE349">IF($C349&lt;&gt;"bitte wählen",INDEX(ListeLebensmittelIFEU,AE$189+1,$P349),"")</f>
        <v/>
      </c>
      <c r="AF349" s="334" t="str" cm="1">
        <f t="array" ref="AF349">IF($C349&lt;&gt;"bitte wählen",INDEX(ListeLebensmittelIFEU,AF$189+1,$P349),"")</f>
        <v/>
      </c>
      <c r="AG349" s="334" t="str" cm="1">
        <f t="array" ref="AG349">IF($C349&lt;&gt;"bitte wählen",INDEX(ListeLebensmittelIFEU,AG$189+1,$P349),"")</f>
        <v/>
      </c>
      <c r="AH349" s="334" t="str" cm="1">
        <f t="array" ref="AH349">IF($C349&lt;&gt;"bitte wählen",INDEX(ListeLebensmittelIFEU,AH$189+1,$P349),"")</f>
        <v/>
      </c>
      <c r="AI349" s="334" t="str" cm="1">
        <f t="array" ref="AI349">IF($C349&lt;&gt;"bitte wählen",INDEX(ListeLebensmittelIFEU,AI$189+1,$P349),"")</f>
        <v/>
      </c>
      <c r="AJ349" s="334" t="str" cm="1">
        <f t="array" ref="AJ349">IF($C349&lt;&gt;"bitte wählen",INDEX(ListeLebensmittelIFEU,AJ$189+1,$P349),"")</f>
        <v/>
      </c>
      <c r="AK349" s="334" t="str" cm="1">
        <f t="array" ref="AK349">IF($C349&lt;&gt;"bitte wählen",INDEX(ListeLebensmittelIFEU,AK$189+1,$P349),"")</f>
        <v/>
      </c>
      <c r="AL349" s="334" t="str" cm="1">
        <f t="array" ref="AL349">IF($C349&lt;&gt;"bitte wählen",INDEX(ListeLebensmittelIFEU,AL$189+1,$P349),"")</f>
        <v/>
      </c>
      <c r="AM349" s="334" t="str" cm="1">
        <f t="array" ref="AM349">IF($C349&lt;&gt;"bitte wählen",INDEX(ListeLebensmittelIFEU,AM$189+1,$P349),"")</f>
        <v/>
      </c>
      <c r="AN349" s="334" t="str" cm="1">
        <f t="array" ref="AN349">IF($C349&lt;&gt;"bitte wählen",INDEX(ListeLebensmittelIFEU,AN$189+1,$P349),"")</f>
        <v/>
      </c>
      <c r="AO349" s="334" t="str" cm="1">
        <f t="array" ref="AO349">IF($C349&lt;&gt;"bitte wählen",INDEX(ListeLebensmittelIFEU,AO$189+1,$P349),"")</f>
        <v/>
      </c>
      <c r="AP349" s="334" t="str" cm="1">
        <f t="array" ref="AP349">IF($C349&lt;&gt;"bitte wählen",INDEX(ListeLebensmittelIFEU,AP$189+1,$P349),"")</f>
        <v/>
      </c>
      <c r="AQ349" s="334" t="str" cm="1">
        <f t="array" ref="AQ349">IF($C349&lt;&gt;"bitte wählen",INDEX(ListeLebensmittelIFEU,AQ$189+1,$P349),"")</f>
        <v/>
      </c>
      <c r="AR349" s="334" t="str" cm="1">
        <f t="array" ref="AR349">IF($C349&lt;&gt;"bitte wählen",INDEX(ListeLebensmittelIFEU,AR$189+1,$P349),"")</f>
        <v/>
      </c>
      <c r="AS349" s="334" t="str" cm="1">
        <f t="array" ref="AS349">IF($C349&lt;&gt;"bitte wählen",INDEX(ListeLebensmittelIFEU,AS$189+1,$P349),"")</f>
        <v/>
      </c>
      <c r="AT349" s="334" t="str" cm="1">
        <f t="array" ref="AT349">IF($C349&lt;&gt;"bitte wählen",INDEX(ListeLebensmittelIFEU,AT$189+1,$P349),"")</f>
        <v/>
      </c>
      <c r="AU349" s="334" t="str" cm="1">
        <f t="array" ref="AU349">IF($C349&lt;&gt;"bitte wählen",INDEX(ListeLebensmittelIFEU,AU$189+1,$P349),"")</f>
        <v/>
      </c>
      <c r="AV349" s="334" t="str" cm="1">
        <f t="array" ref="AV349">IF($C349&lt;&gt;"bitte wählen",INDEX(ListeLebensmittelIFEU,AV$189+1,$P349),"")</f>
        <v/>
      </c>
      <c r="AW349" s="334" t="str" cm="1">
        <f t="array" ref="AW349">IF($C349&lt;&gt;"bitte wählen",INDEX(ListeLebensmittelIFEU,AW$189+1,$P349),"")</f>
        <v/>
      </c>
      <c r="AX349" s="334" t="str" cm="1">
        <f t="array" ref="AX349">IF($C349&lt;&gt;"bitte wählen",INDEX(ListeLebensmittelIFEU,AX$189+1,$P349),"")</f>
        <v/>
      </c>
      <c r="AY349" s="334" t="str" cm="1">
        <f t="array" ref="AY349">IF($C349&lt;&gt;"bitte wählen",INDEX(ListeLebensmittelIFEU,AY$189+1,$P349),"")</f>
        <v/>
      </c>
      <c r="AZ349" s="335" t="str" cm="1">
        <f t="array" ref="AZ349">IF($C349&lt;&gt;"bitte wählen",INDEX(ListeLebensmittelIFEU,AZ$189+1,$P349),"")</f>
        <v/>
      </c>
    </row>
    <row r="350" spans="1:52" x14ac:dyDescent="0.3">
      <c r="B350" t="s">
        <v>330</v>
      </c>
      <c r="C350" s="471" t="s">
        <v>27</v>
      </c>
      <c r="D350" s="472"/>
      <c r="E350" s="349"/>
      <c r="F350" s="473" t="s">
        <v>12</v>
      </c>
      <c r="G350" s="350" t="str">
        <f t="shared" si="80"/>
        <v/>
      </c>
      <c r="H350" s="293" t="str">
        <f t="shared" si="81"/>
        <v/>
      </c>
      <c r="P350" s="333">
        <f t="shared" si="82"/>
        <v>22</v>
      </c>
      <c r="Q350" s="334" t="e">
        <f t="shared" si="85"/>
        <v>#N/A</v>
      </c>
      <c r="R350" s="359">
        <f t="shared" si="83"/>
        <v>0</v>
      </c>
      <c r="S350" s="380">
        <f t="shared" si="84"/>
        <v>0</v>
      </c>
      <c r="T350" s="333" t="str" cm="1">
        <f t="array" ref="T350">IF($C350&lt;&gt;"bitte wählen",INDEX(ListeLebensmittelIFEU,T$189+1,$P350),"")</f>
        <v/>
      </c>
      <c r="U350" s="334" t="str" cm="1">
        <f t="array" ref="U350">IF($C350&lt;&gt;"bitte wählen",INDEX(ListeLebensmittelIFEU,U$189+1,$P350),"")</f>
        <v/>
      </c>
      <c r="V350" s="334" t="str" cm="1">
        <f t="array" ref="V350">IF($C350&lt;&gt;"bitte wählen",INDEX(ListeLebensmittelIFEU,V$189+1,$P350),"")</f>
        <v/>
      </c>
      <c r="W350" s="334" t="str" cm="1">
        <f t="array" ref="W350">IF($C350&lt;&gt;"bitte wählen",INDEX(ListeLebensmittelIFEU,W$189+1,$P350),"")</f>
        <v/>
      </c>
      <c r="X350" s="334" t="str" cm="1">
        <f t="array" ref="X350">IF($C350&lt;&gt;"bitte wählen",INDEX(ListeLebensmittelIFEU,X$189+1,$P350),"")</f>
        <v/>
      </c>
      <c r="Y350" s="334" t="str" cm="1">
        <f t="array" ref="Y350">IF($C350&lt;&gt;"bitte wählen",INDEX(ListeLebensmittelIFEU,Y$189+1,$P350),"")</f>
        <v/>
      </c>
      <c r="Z350" s="334" t="str" cm="1">
        <f t="array" ref="Z350">IF($C350&lt;&gt;"bitte wählen",INDEX(ListeLebensmittelIFEU,Z$189+1,$P350),"")</f>
        <v/>
      </c>
      <c r="AA350" s="334" t="str" cm="1">
        <f t="array" ref="AA350">IF($C350&lt;&gt;"bitte wählen",INDEX(ListeLebensmittelIFEU,AA$189+1,$P350),"")</f>
        <v/>
      </c>
      <c r="AB350" s="334" t="str" cm="1">
        <f t="array" ref="AB350">IF($C350&lt;&gt;"bitte wählen",INDEX(ListeLebensmittelIFEU,AB$189+1,$P350),"")</f>
        <v/>
      </c>
      <c r="AC350" s="334" t="str" cm="1">
        <f t="array" ref="AC350">IF($C350&lt;&gt;"bitte wählen",INDEX(ListeLebensmittelIFEU,AC$189+1,$P350),"")</f>
        <v/>
      </c>
      <c r="AD350" s="334" t="str" cm="1">
        <f t="array" ref="AD350">IF($C350&lt;&gt;"bitte wählen",INDEX(ListeLebensmittelIFEU,AD$189+1,$P350),"")</f>
        <v/>
      </c>
      <c r="AE350" s="334" t="str" cm="1">
        <f t="array" ref="AE350">IF($C350&lt;&gt;"bitte wählen",INDEX(ListeLebensmittelIFEU,AE$189+1,$P350),"")</f>
        <v/>
      </c>
      <c r="AF350" s="334" t="str" cm="1">
        <f t="array" ref="AF350">IF($C350&lt;&gt;"bitte wählen",INDEX(ListeLebensmittelIFEU,AF$189+1,$P350),"")</f>
        <v/>
      </c>
      <c r="AG350" s="334" t="str" cm="1">
        <f t="array" ref="AG350">IF($C350&lt;&gt;"bitte wählen",INDEX(ListeLebensmittelIFEU,AG$189+1,$P350),"")</f>
        <v/>
      </c>
      <c r="AH350" s="334" t="str" cm="1">
        <f t="array" ref="AH350">IF($C350&lt;&gt;"bitte wählen",INDEX(ListeLebensmittelIFEU,AH$189+1,$P350),"")</f>
        <v/>
      </c>
      <c r="AI350" s="334" t="str" cm="1">
        <f t="array" ref="AI350">IF($C350&lt;&gt;"bitte wählen",INDEX(ListeLebensmittelIFEU,AI$189+1,$P350),"")</f>
        <v/>
      </c>
      <c r="AJ350" s="334" t="str" cm="1">
        <f t="array" ref="AJ350">IF($C350&lt;&gt;"bitte wählen",INDEX(ListeLebensmittelIFEU,AJ$189+1,$P350),"")</f>
        <v/>
      </c>
      <c r="AK350" s="334" t="str" cm="1">
        <f t="array" ref="AK350">IF($C350&lt;&gt;"bitte wählen",INDEX(ListeLebensmittelIFEU,AK$189+1,$P350),"")</f>
        <v/>
      </c>
      <c r="AL350" s="334" t="str" cm="1">
        <f t="array" ref="AL350">IF($C350&lt;&gt;"bitte wählen",INDEX(ListeLebensmittelIFEU,AL$189+1,$P350),"")</f>
        <v/>
      </c>
      <c r="AM350" s="334" t="str" cm="1">
        <f t="array" ref="AM350">IF($C350&lt;&gt;"bitte wählen",INDEX(ListeLebensmittelIFEU,AM$189+1,$P350),"")</f>
        <v/>
      </c>
      <c r="AN350" s="334" t="str" cm="1">
        <f t="array" ref="AN350">IF($C350&lt;&gt;"bitte wählen",INDEX(ListeLebensmittelIFEU,AN$189+1,$P350),"")</f>
        <v/>
      </c>
      <c r="AO350" s="334" t="str" cm="1">
        <f t="array" ref="AO350">IF($C350&lt;&gt;"bitte wählen",INDEX(ListeLebensmittelIFEU,AO$189+1,$P350),"")</f>
        <v/>
      </c>
      <c r="AP350" s="334" t="str" cm="1">
        <f t="array" ref="AP350">IF($C350&lt;&gt;"bitte wählen",INDEX(ListeLebensmittelIFEU,AP$189+1,$P350),"")</f>
        <v/>
      </c>
      <c r="AQ350" s="334" t="str" cm="1">
        <f t="array" ref="AQ350">IF($C350&lt;&gt;"bitte wählen",INDEX(ListeLebensmittelIFEU,AQ$189+1,$P350),"")</f>
        <v/>
      </c>
      <c r="AR350" s="334" t="str" cm="1">
        <f t="array" ref="AR350">IF($C350&lt;&gt;"bitte wählen",INDEX(ListeLebensmittelIFEU,AR$189+1,$P350),"")</f>
        <v/>
      </c>
      <c r="AS350" s="334" t="str" cm="1">
        <f t="array" ref="AS350">IF($C350&lt;&gt;"bitte wählen",INDEX(ListeLebensmittelIFEU,AS$189+1,$P350),"")</f>
        <v/>
      </c>
      <c r="AT350" s="334" t="str" cm="1">
        <f t="array" ref="AT350">IF($C350&lt;&gt;"bitte wählen",INDEX(ListeLebensmittelIFEU,AT$189+1,$P350),"")</f>
        <v/>
      </c>
      <c r="AU350" s="334" t="str" cm="1">
        <f t="array" ref="AU350">IF($C350&lt;&gt;"bitte wählen",INDEX(ListeLebensmittelIFEU,AU$189+1,$P350),"")</f>
        <v/>
      </c>
      <c r="AV350" s="334" t="str" cm="1">
        <f t="array" ref="AV350">IF($C350&lt;&gt;"bitte wählen",INDEX(ListeLebensmittelIFEU,AV$189+1,$P350),"")</f>
        <v/>
      </c>
      <c r="AW350" s="334" t="str" cm="1">
        <f t="array" ref="AW350">IF($C350&lt;&gt;"bitte wählen",INDEX(ListeLebensmittelIFEU,AW$189+1,$P350),"")</f>
        <v/>
      </c>
      <c r="AX350" s="334" t="str" cm="1">
        <f t="array" ref="AX350">IF($C350&lt;&gt;"bitte wählen",INDEX(ListeLebensmittelIFEU,AX$189+1,$P350),"")</f>
        <v/>
      </c>
      <c r="AY350" s="334" t="str" cm="1">
        <f t="array" ref="AY350">IF($C350&lt;&gt;"bitte wählen",INDEX(ListeLebensmittelIFEU,AY$189+1,$P350),"")</f>
        <v/>
      </c>
      <c r="AZ350" s="335" t="str" cm="1">
        <f t="array" ref="AZ350">IF($C350&lt;&gt;"bitte wählen",INDEX(ListeLebensmittelIFEU,AZ$189+1,$P350),"")</f>
        <v/>
      </c>
    </row>
    <row r="351" spans="1:52" x14ac:dyDescent="0.3">
      <c r="B351" t="s">
        <v>398</v>
      </c>
      <c r="C351" s="471" t="s">
        <v>27</v>
      </c>
      <c r="D351" s="472"/>
      <c r="E351" s="349"/>
      <c r="F351" s="473" t="s">
        <v>12</v>
      </c>
      <c r="G351" s="350" t="str">
        <f t="shared" si="80"/>
        <v/>
      </c>
      <c r="H351" s="293" t="str">
        <f t="shared" si="81"/>
        <v/>
      </c>
      <c r="P351" s="336">
        <f t="shared" si="82"/>
        <v>22</v>
      </c>
      <c r="Q351" s="337" t="e">
        <f t="shared" si="85"/>
        <v>#N/A</v>
      </c>
      <c r="R351" s="360">
        <f t="shared" si="83"/>
        <v>0</v>
      </c>
      <c r="S351" s="381">
        <f t="shared" si="84"/>
        <v>0</v>
      </c>
      <c r="T351" s="336" t="str" cm="1">
        <f t="array" ref="T351">IF($C351&lt;&gt;"bitte wählen",INDEX(ListeLebensmittelIFEU,T$189+1,$P351),"")</f>
        <v/>
      </c>
      <c r="U351" s="337" t="str" cm="1">
        <f t="array" ref="U351">IF($C351&lt;&gt;"bitte wählen",INDEX(ListeLebensmittelIFEU,U$189+1,$P351),"")</f>
        <v/>
      </c>
      <c r="V351" s="337" t="str" cm="1">
        <f t="array" ref="V351">IF($C351&lt;&gt;"bitte wählen",INDEX(ListeLebensmittelIFEU,V$189+1,$P351),"")</f>
        <v/>
      </c>
      <c r="W351" s="337" t="str" cm="1">
        <f t="array" ref="W351">IF($C351&lt;&gt;"bitte wählen",INDEX(ListeLebensmittelIFEU,W$189+1,$P351),"")</f>
        <v/>
      </c>
      <c r="X351" s="337" t="str" cm="1">
        <f t="array" ref="X351">IF($C351&lt;&gt;"bitte wählen",INDEX(ListeLebensmittelIFEU,X$189+1,$P351),"")</f>
        <v/>
      </c>
      <c r="Y351" s="337" t="str" cm="1">
        <f t="array" ref="Y351">IF($C351&lt;&gt;"bitte wählen",INDEX(ListeLebensmittelIFEU,Y$189+1,$P351),"")</f>
        <v/>
      </c>
      <c r="Z351" s="337" t="str" cm="1">
        <f t="array" ref="Z351">IF($C351&lt;&gt;"bitte wählen",INDEX(ListeLebensmittelIFEU,Z$189+1,$P351),"")</f>
        <v/>
      </c>
      <c r="AA351" s="337" t="str" cm="1">
        <f t="array" ref="AA351">IF($C351&lt;&gt;"bitte wählen",INDEX(ListeLebensmittelIFEU,AA$189+1,$P351),"")</f>
        <v/>
      </c>
      <c r="AB351" s="337" t="str" cm="1">
        <f t="array" ref="AB351">IF($C351&lt;&gt;"bitte wählen",INDEX(ListeLebensmittelIFEU,AB$189+1,$P351),"")</f>
        <v/>
      </c>
      <c r="AC351" s="337" t="str" cm="1">
        <f t="array" ref="AC351">IF($C351&lt;&gt;"bitte wählen",INDEX(ListeLebensmittelIFEU,AC$189+1,$P351),"")</f>
        <v/>
      </c>
      <c r="AD351" s="337" t="str" cm="1">
        <f t="array" ref="AD351">IF($C351&lt;&gt;"bitte wählen",INDEX(ListeLebensmittelIFEU,AD$189+1,$P351),"")</f>
        <v/>
      </c>
      <c r="AE351" s="337" t="str" cm="1">
        <f t="array" ref="AE351">IF($C351&lt;&gt;"bitte wählen",INDEX(ListeLebensmittelIFEU,AE$189+1,$P351),"")</f>
        <v/>
      </c>
      <c r="AF351" s="337" t="str" cm="1">
        <f t="array" ref="AF351">IF($C351&lt;&gt;"bitte wählen",INDEX(ListeLebensmittelIFEU,AF$189+1,$P351),"")</f>
        <v/>
      </c>
      <c r="AG351" s="337" t="str" cm="1">
        <f t="array" ref="AG351">IF($C351&lt;&gt;"bitte wählen",INDEX(ListeLebensmittelIFEU,AG$189+1,$P351),"")</f>
        <v/>
      </c>
      <c r="AH351" s="337" t="str" cm="1">
        <f t="array" ref="AH351">IF($C351&lt;&gt;"bitte wählen",INDEX(ListeLebensmittelIFEU,AH$189+1,$P351),"")</f>
        <v/>
      </c>
      <c r="AI351" s="337" t="str" cm="1">
        <f t="array" ref="AI351">IF($C351&lt;&gt;"bitte wählen",INDEX(ListeLebensmittelIFEU,AI$189+1,$P351),"")</f>
        <v/>
      </c>
      <c r="AJ351" s="337" t="str" cm="1">
        <f t="array" ref="AJ351">IF($C351&lt;&gt;"bitte wählen",INDEX(ListeLebensmittelIFEU,AJ$189+1,$P351),"")</f>
        <v/>
      </c>
      <c r="AK351" s="337" t="str" cm="1">
        <f t="array" ref="AK351">IF($C351&lt;&gt;"bitte wählen",INDEX(ListeLebensmittelIFEU,AK$189+1,$P351),"")</f>
        <v/>
      </c>
      <c r="AL351" s="337" t="str" cm="1">
        <f t="array" ref="AL351">IF($C351&lt;&gt;"bitte wählen",INDEX(ListeLebensmittelIFEU,AL$189+1,$P351),"")</f>
        <v/>
      </c>
      <c r="AM351" s="337" t="str" cm="1">
        <f t="array" ref="AM351">IF($C351&lt;&gt;"bitte wählen",INDEX(ListeLebensmittelIFEU,AM$189+1,$P351),"")</f>
        <v/>
      </c>
      <c r="AN351" s="337" t="str" cm="1">
        <f t="array" ref="AN351">IF($C351&lt;&gt;"bitte wählen",INDEX(ListeLebensmittelIFEU,AN$189+1,$P351),"")</f>
        <v/>
      </c>
      <c r="AO351" s="337" t="str" cm="1">
        <f t="array" ref="AO351">IF($C351&lt;&gt;"bitte wählen",INDEX(ListeLebensmittelIFEU,AO$189+1,$P351),"")</f>
        <v/>
      </c>
      <c r="AP351" s="337" t="str" cm="1">
        <f t="array" ref="AP351">IF($C351&lt;&gt;"bitte wählen",INDEX(ListeLebensmittelIFEU,AP$189+1,$P351),"")</f>
        <v/>
      </c>
      <c r="AQ351" s="337" t="str" cm="1">
        <f t="array" ref="AQ351">IF($C351&lt;&gt;"bitte wählen",INDEX(ListeLebensmittelIFEU,AQ$189+1,$P351),"")</f>
        <v/>
      </c>
      <c r="AR351" s="337" t="str" cm="1">
        <f t="array" ref="AR351">IF($C351&lt;&gt;"bitte wählen",INDEX(ListeLebensmittelIFEU,AR$189+1,$P351),"")</f>
        <v/>
      </c>
      <c r="AS351" s="337" t="str" cm="1">
        <f t="array" ref="AS351">IF($C351&lt;&gt;"bitte wählen",INDEX(ListeLebensmittelIFEU,AS$189+1,$P351),"")</f>
        <v/>
      </c>
      <c r="AT351" s="337" t="str" cm="1">
        <f t="array" ref="AT351">IF($C351&lt;&gt;"bitte wählen",INDEX(ListeLebensmittelIFEU,AT$189+1,$P351),"")</f>
        <v/>
      </c>
      <c r="AU351" s="337" t="str" cm="1">
        <f t="array" ref="AU351">IF($C351&lt;&gt;"bitte wählen",INDEX(ListeLebensmittelIFEU,AU$189+1,$P351),"")</f>
        <v/>
      </c>
      <c r="AV351" s="337" t="str" cm="1">
        <f t="array" ref="AV351">IF($C351&lt;&gt;"bitte wählen",INDEX(ListeLebensmittelIFEU,AV$189+1,$P351),"")</f>
        <v/>
      </c>
      <c r="AW351" s="337" t="str" cm="1">
        <f t="array" ref="AW351">IF($C351&lt;&gt;"bitte wählen",INDEX(ListeLebensmittelIFEU,AW$189+1,$P351),"")</f>
        <v/>
      </c>
      <c r="AX351" s="337" t="str" cm="1">
        <f t="array" ref="AX351">IF($C351&lt;&gt;"bitte wählen",INDEX(ListeLebensmittelIFEU,AX$189+1,$P351),"")</f>
        <v/>
      </c>
      <c r="AY351" s="337" t="str" cm="1">
        <f t="array" ref="AY351">IF($C351&lt;&gt;"bitte wählen",INDEX(ListeLebensmittelIFEU,AY$189+1,$P351),"")</f>
        <v/>
      </c>
      <c r="AZ351" s="338" t="str" cm="1">
        <f t="array" ref="AZ351">IF($C351&lt;&gt;"bitte wählen",INDEX(ListeLebensmittelIFEU,AZ$189+1,$P351),"")</f>
        <v/>
      </c>
    </row>
    <row r="352" spans="1:52" x14ac:dyDescent="0.3">
      <c r="B352" s="105" t="str">
        <f>IF(R352,IF(E352/IF(D344="",1,D344)&lt;GewichtMittagessenMin,"Hinweis: Dies scheint eine relativ kleine Portion zu sein",IF(E352/IF(D344="",1,D344)&gt;GewichtMittagessenMax,"Hinweis: Dies scheint eine relativ große Portion zu sein","")),"")</f>
        <v/>
      </c>
      <c r="C352" s="78"/>
      <c r="D352" s="78"/>
      <c r="E352" s="355">
        <f>SUM(E346:E351)-SUMIF(C346:C351,"Getränke",E346:E351)</f>
        <v>0</v>
      </c>
      <c r="G352" s="15" t="s">
        <v>622</v>
      </c>
      <c r="H352" s="293">
        <f>SUM(H346:H351)</f>
        <v>0</v>
      </c>
      <c r="Q352" s="383" t="s">
        <v>1030</v>
      </c>
      <c r="R352" s="386" t="b">
        <f>IF(SUM(R346:R351)&gt;0,TRUE,FALSE)</f>
        <v>0</v>
      </c>
      <c r="S352" s="383">
        <f>SUM(S346:S351)</f>
        <v>0</v>
      </c>
      <c r="T352" s="383" t="s">
        <v>1029</v>
      </c>
      <c r="U352" s="383" t="str">
        <f>IF(R352,IF(S352&gt;9,10,IF(S352&gt;0,1,0)),"")</f>
        <v/>
      </c>
    </row>
    <row r="353" spans="1:52" x14ac:dyDescent="0.3">
      <c r="B353" s="385" t="str">
        <f>IF(U352=0,"🌱 vegan","")</f>
        <v/>
      </c>
      <c r="C353" s="105" t="str">
        <f>IF(U352=1,"Ⓥ vegetarisch","")</f>
        <v/>
      </c>
      <c r="D353" s="384" t="str">
        <f>IF(U352=10,"🥩 mit Fleisch/Fisch","")</f>
        <v/>
      </c>
      <c r="E353" s="78"/>
      <c r="G353" s="15" t="s">
        <v>623</v>
      </c>
      <c r="H353" s="294">
        <f>IF(D344="",H352,H352/D344)</f>
        <v>0</v>
      </c>
    </row>
    <row r="354" spans="1:52" x14ac:dyDescent="0.3">
      <c r="C354" s="78"/>
      <c r="D354" s="78"/>
      <c r="E354" s="78"/>
      <c r="G354" s="15"/>
      <c r="H354" s="15"/>
    </row>
    <row r="355" spans="1:52" ht="18" thickBot="1" x14ac:dyDescent="0.4">
      <c r="B355" s="496" t="str">
        <f>"CO₂-Bilanz Gericht 14: "&amp;D356</f>
        <v>CO₂-Bilanz Gericht 14: Menü 14</v>
      </c>
      <c r="C355" s="496"/>
      <c r="D355" s="496"/>
      <c r="E355" s="496"/>
      <c r="T355" s="84"/>
    </row>
    <row r="356" spans="1:52" ht="15" thickTop="1" x14ac:dyDescent="0.3">
      <c r="B356" t="s">
        <v>994</v>
      </c>
      <c r="D356" s="288" t="s">
        <v>1017</v>
      </c>
      <c r="F356" s="78"/>
      <c r="G356" s="78"/>
      <c r="H356" s="78"/>
      <c r="I356" s="78"/>
    </row>
    <row r="357" spans="1:52" x14ac:dyDescent="0.3">
      <c r="B357" t="s">
        <v>995</v>
      </c>
      <c r="C357" s="78"/>
      <c r="D357" s="291">
        <v>1</v>
      </c>
      <c r="E357" s="301" t="str">
        <f>IF(ISNUMBER(FIND("g",_xlfn.CONCAT(E359:E364))),"Bitte Menge als reine Zahl ohne Zusatz g eingeben","")</f>
        <v/>
      </c>
      <c r="G357" s="78"/>
      <c r="H357" s="78"/>
      <c r="T357" s="329" t="s">
        <v>918</v>
      </c>
      <c r="U357" s="330"/>
      <c r="V357" s="330"/>
      <c r="W357" s="330"/>
      <c r="X357" s="330"/>
      <c r="Y357" s="330"/>
    </row>
    <row r="358" spans="1:52" ht="44.4" x14ac:dyDescent="0.35">
      <c r="A358" s="376" t="s">
        <v>1217</v>
      </c>
      <c r="C358" s="297" t="s">
        <v>993</v>
      </c>
      <c r="D358" s="313" t="s">
        <v>992</v>
      </c>
      <c r="E358" s="298" t="s">
        <v>323</v>
      </c>
      <c r="F358" s="298" t="s">
        <v>324</v>
      </c>
      <c r="G358" s="296" t="s">
        <v>534</v>
      </c>
      <c r="H358" s="296" t="s">
        <v>535</v>
      </c>
      <c r="P358" s="356" t="s">
        <v>956</v>
      </c>
      <c r="Q358" s="356" t="s">
        <v>957</v>
      </c>
      <c r="R358" s="357" t="s">
        <v>958</v>
      </c>
      <c r="S358" s="357" t="s">
        <v>1028</v>
      </c>
      <c r="T358" s="361">
        <v>1</v>
      </c>
      <c r="U358" s="362">
        <v>2</v>
      </c>
      <c r="V358" s="362">
        <v>3</v>
      </c>
      <c r="W358" s="362">
        <v>4</v>
      </c>
      <c r="X358" s="362">
        <v>5</v>
      </c>
      <c r="Y358" s="362">
        <v>6</v>
      </c>
      <c r="Z358" s="362">
        <v>7</v>
      </c>
      <c r="AA358" s="362">
        <v>8</v>
      </c>
      <c r="AB358" s="362">
        <v>9</v>
      </c>
      <c r="AC358" s="362">
        <v>10</v>
      </c>
      <c r="AD358" s="362">
        <v>11</v>
      </c>
      <c r="AE358" s="362">
        <v>12</v>
      </c>
      <c r="AF358" s="362">
        <v>13</v>
      </c>
      <c r="AG358" s="362">
        <v>14</v>
      </c>
      <c r="AH358" s="362">
        <v>15</v>
      </c>
      <c r="AI358" s="362">
        <v>16</v>
      </c>
      <c r="AJ358" s="362">
        <v>17</v>
      </c>
      <c r="AK358" s="362">
        <v>18</v>
      </c>
      <c r="AL358" s="362">
        <v>19</v>
      </c>
      <c r="AM358" s="362">
        <v>20</v>
      </c>
      <c r="AN358" s="362">
        <v>21</v>
      </c>
      <c r="AO358" s="362">
        <v>22</v>
      </c>
      <c r="AP358" s="362">
        <v>23</v>
      </c>
      <c r="AQ358" s="362">
        <v>24</v>
      </c>
      <c r="AR358" s="362">
        <v>25</v>
      </c>
      <c r="AS358" s="362">
        <v>26</v>
      </c>
      <c r="AT358" s="362">
        <v>27</v>
      </c>
      <c r="AU358" s="362">
        <v>28</v>
      </c>
      <c r="AV358" s="362">
        <v>29</v>
      </c>
      <c r="AW358" s="362">
        <v>30</v>
      </c>
      <c r="AX358" s="362">
        <v>31</v>
      </c>
      <c r="AY358" s="362">
        <v>32</v>
      </c>
      <c r="AZ358" s="363">
        <v>33</v>
      </c>
    </row>
    <row r="359" spans="1:52" x14ac:dyDescent="0.3">
      <c r="B359" t="s">
        <v>13</v>
      </c>
      <c r="C359" s="471" t="s">
        <v>27</v>
      </c>
      <c r="D359" s="472"/>
      <c r="E359" s="470"/>
      <c r="F359" s="473" t="s">
        <v>12</v>
      </c>
      <c r="G359" s="350" t="str">
        <f t="shared" ref="G359:G364" si="86">IF(D359="","",R359*IF(F359="Ja",FaktorBeiLokalemProdukt,1))</f>
        <v/>
      </c>
      <c r="H359" s="293" t="str">
        <f t="shared" ref="H359:H364" si="87">IF(D359="","",E359*G359)</f>
        <v/>
      </c>
      <c r="P359" s="331">
        <f t="shared" ref="P359:P364" si="88">VLOOKUP(C359,$C$457:$D$464,2,FALSE)</f>
        <v>22</v>
      </c>
      <c r="Q359" s="332" t="e">
        <f>MATCH(D359,T359:AZ359,0)</f>
        <v>#N/A</v>
      </c>
      <c r="R359" s="358">
        <f t="shared" ref="R359:R364" si="89">_xlfn.IFNA(IF(D359&lt;&gt;"",VLOOKUP(D359,$C$544:$E$774,2,FALSE),0),0)</f>
        <v>0</v>
      </c>
      <c r="S359" s="358">
        <f t="shared" ref="S359:S364" si="90">_xlfn.IFNA(IF(D359&lt;&gt;"",VLOOKUP(D359,$C$544:$E$774,3,FALSE),0),0)</f>
        <v>0</v>
      </c>
      <c r="T359" s="333" t="str" cm="1">
        <f t="array" ref="T359">IF($C359&lt;&gt;"bitte wählen",INDEX(ListeLebensmittelIFEU,T$189+1,$P359),"")</f>
        <v/>
      </c>
      <c r="U359" s="334" t="str" cm="1">
        <f t="array" ref="U359">IF($C359&lt;&gt;"bitte wählen",INDEX(ListeLebensmittelIFEU,U$189+1,$P359),"")</f>
        <v/>
      </c>
      <c r="V359" s="334" t="str" cm="1">
        <f t="array" ref="V359">IF($C359&lt;&gt;"bitte wählen",INDEX(ListeLebensmittelIFEU,V$189+1,$P359),"")</f>
        <v/>
      </c>
      <c r="W359" s="334" t="str" cm="1">
        <f t="array" ref="W359">IF($C359&lt;&gt;"bitte wählen",INDEX(ListeLebensmittelIFEU,W$189+1,$P359),"")</f>
        <v/>
      </c>
      <c r="X359" s="334" t="str" cm="1">
        <f t="array" ref="X359">IF($C359&lt;&gt;"bitte wählen",INDEX(ListeLebensmittelIFEU,X$189+1,$P359),"")</f>
        <v/>
      </c>
      <c r="Y359" s="334" t="str" cm="1">
        <f t="array" ref="Y359">IF($C359&lt;&gt;"bitte wählen",INDEX(ListeLebensmittelIFEU,Y$189+1,$P359),"")</f>
        <v/>
      </c>
      <c r="Z359" s="334" t="str" cm="1">
        <f t="array" ref="Z359">IF($C359&lt;&gt;"bitte wählen",INDEX(ListeLebensmittelIFEU,Z$189+1,$P359),"")</f>
        <v/>
      </c>
      <c r="AA359" s="334" t="str" cm="1">
        <f t="array" ref="AA359">IF($C359&lt;&gt;"bitte wählen",INDEX(ListeLebensmittelIFEU,AA$189+1,$P359),"")</f>
        <v/>
      </c>
      <c r="AB359" s="334" t="str" cm="1">
        <f t="array" ref="AB359">IF($C359&lt;&gt;"bitte wählen",INDEX(ListeLebensmittelIFEU,AB$189+1,$P359),"")</f>
        <v/>
      </c>
      <c r="AC359" s="334" t="str" cm="1">
        <f t="array" ref="AC359">IF($C359&lt;&gt;"bitte wählen",INDEX(ListeLebensmittelIFEU,AC$189+1,$P359),"")</f>
        <v/>
      </c>
      <c r="AD359" s="334" t="str" cm="1">
        <f t="array" ref="AD359">IF($C359&lt;&gt;"bitte wählen",INDEX(ListeLebensmittelIFEU,AD$189+1,$P359),"")</f>
        <v/>
      </c>
      <c r="AE359" s="334" t="str" cm="1">
        <f t="array" ref="AE359">IF($C359&lt;&gt;"bitte wählen",INDEX(ListeLebensmittelIFEU,AE$189+1,$P359),"")</f>
        <v/>
      </c>
      <c r="AF359" s="334" t="str" cm="1">
        <f t="array" ref="AF359">IF($C359&lt;&gt;"bitte wählen",INDEX(ListeLebensmittelIFEU,AF$189+1,$P359),"")</f>
        <v/>
      </c>
      <c r="AG359" s="334" t="str" cm="1">
        <f t="array" ref="AG359">IF($C359&lt;&gt;"bitte wählen",INDEX(ListeLebensmittelIFEU,AG$189+1,$P359),"")</f>
        <v/>
      </c>
      <c r="AH359" s="334" t="str" cm="1">
        <f t="array" ref="AH359">IF($C359&lt;&gt;"bitte wählen",INDEX(ListeLebensmittelIFEU,AH$189+1,$P359),"")</f>
        <v/>
      </c>
      <c r="AI359" s="334" t="str" cm="1">
        <f t="array" ref="AI359">IF($C359&lt;&gt;"bitte wählen",INDEX(ListeLebensmittelIFEU,AI$189+1,$P359),"")</f>
        <v/>
      </c>
      <c r="AJ359" s="334" t="str" cm="1">
        <f t="array" ref="AJ359">IF($C359&lt;&gt;"bitte wählen",INDEX(ListeLebensmittelIFEU,AJ$189+1,$P359),"")</f>
        <v/>
      </c>
      <c r="AK359" s="334" t="str" cm="1">
        <f t="array" ref="AK359">IF($C359&lt;&gt;"bitte wählen",INDEX(ListeLebensmittelIFEU,AK$189+1,$P359),"")</f>
        <v/>
      </c>
      <c r="AL359" s="334" t="str" cm="1">
        <f t="array" ref="AL359">IF($C359&lt;&gt;"bitte wählen",INDEX(ListeLebensmittelIFEU,AL$189+1,$P359),"")</f>
        <v/>
      </c>
      <c r="AM359" s="334" t="str" cm="1">
        <f t="array" ref="AM359">IF($C359&lt;&gt;"bitte wählen",INDEX(ListeLebensmittelIFEU,AM$189+1,$P359),"")</f>
        <v/>
      </c>
      <c r="AN359" s="334" t="str" cm="1">
        <f t="array" ref="AN359">IF($C359&lt;&gt;"bitte wählen",INDEX(ListeLebensmittelIFEU,AN$189+1,$P359),"")</f>
        <v/>
      </c>
      <c r="AO359" s="334" t="str" cm="1">
        <f t="array" ref="AO359">IF($C359&lt;&gt;"bitte wählen",INDEX(ListeLebensmittelIFEU,AO$189+1,$P359),"")</f>
        <v/>
      </c>
      <c r="AP359" s="334" t="str" cm="1">
        <f t="array" ref="AP359">IF($C359&lt;&gt;"bitte wählen",INDEX(ListeLebensmittelIFEU,AP$189+1,$P359),"")</f>
        <v/>
      </c>
      <c r="AQ359" s="334" t="str" cm="1">
        <f t="array" ref="AQ359">IF($C359&lt;&gt;"bitte wählen",INDEX(ListeLebensmittelIFEU,AQ$189+1,$P359),"")</f>
        <v/>
      </c>
      <c r="AR359" s="334" t="str" cm="1">
        <f t="array" ref="AR359">IF($C359&lt;&gt;"bitte wählen",INDEX(ListeLebensmittelIFEU,AR$189+1,$P359),"")</f>
        <v/>
      </c>
      <c r="AS359" s="334" t="str" cm="1">
        <f t="array" ref="AS359">IF($C359&lt;&gt;"bitte wählen",INDEX(ListeLebensmittelIFEU,AS$189+1,$P359),"")</f>
        <v/>
      </c>
      <c r="AT359" s="334" t="str" cm="1">
        <f t="array" ref="AT359">IF($C359&lt;&gt;"bitte wählen",INDEX(ListeLebensmittelIFEU,AT$189+1,$P359),"")</f>
        <v/>
      </c>
      <c r="AU359" s="334" t="str" cm="1">
        <f t="array" ref="AU359">IF($C359&lt;&gt;"bitte wählen",INDEX(ListeLebensmittelIFEU,AU$189+1,$P359),"")</f>
        <v/>
      </c>
      <c r="AV359" s="334" t="str" cm="1">
        <f t="array" ref="AV359">IF($C359&lt;&gt;"bitte wählen",INDEX(ListeLebensmittelIFEU,AV$189+1,$P359),"")</f>
        <v/>
      </c>
      <c r="AW359" s="334" t="str" cm="1">
        <f t="array" ref="AW359">IF($C359&lt;&gt;"bitte wählen",INDEX(ListeLebensmittelIFEU,AW$189+1,$P359),"")</f>
        <v/>
      </c>
      <c r="AX359" s="334" t="str" cm="1">
        <f t="array" ref="AX359">IF($C359&lt;&gt;"bitte wählen",INDEX(ListeLebensmittelIFEU,AX$189+1,$P359),"")</f>
        <v/>
      </c>
      <c r="AY359" s="334" t="str" cm="1">
        <f t="array" ref="AY359">IF($C359&lt;&gt;"bitte wählen",INDEX(ListeLebensmittelIFEU,AY$189+1,$P359),"")</f>
        <v/>
      </c>
      <c r="AZ359" s="335" t="str" cm="1">
        <f t="array" ref="AZ359">IF($C359&lt;&gt;"bitte wählen",INDEX(ListeLebensmittelIFEU,AZ$189+1,$P359),"")</f>
        <v/>
      </c>
    </row>
    <row r="360" spans="1:52" x14ac:dyDescent="0.3">
      <c r="B360" t="s">
        <v>327</v>
      </c>
      <c r="C360" s="471" t="s">
        <v>27</v>
      </c>
      <c r="D360" s="472"/>
      <c r="E360" s="349"/>
      <c r="F360" s="473" t="s">
        <v>12</v>
      </c>
      <c r="G360" s="350" t="str">
        <f t="shared" si="86"/>
        <v/>
      </c>
      <c r="H360" s="293" t="str">
        <f t="shared" si="87"/>
        <v/>
      </c>
      <c r="P360" s="333">
        <f t="shared" si="88"/>
        <v>22</v>
      </c>
      <c r="Q360" s="334" t="e">
        <f t="shared" ref="Q360:Q364" si="91">MATCH(D360,T360:AZ360,0)</f>
        <v>#N/A</v>
      </c>
      <c r="R360" s="359">
        <f t="shared" si="89"/>
        <v>0</v>
      </c>
      <c r="S360" s="380">
        <f t="shared" si="90"/>
        <v>0</v>
      </c>
      <c r="T360" s="333" t="str" cm="1">
        <f t="array" ref="T360">IF($C360&lt;&gt;"bitte wählen",INDEX(ListeLebensmittelIFEU,T$189+1,$P360),"")</f>
        <v/>
      </c>
      <c r="U360" s="334" t="str" cm="1">
        <f t="array" ref="U360">IF($C360&lt;&gt;"bitte wählen",INDEX(ListeLebensmittelIFEU,U$189+1,$P360),"")</f>
        <v/>
      </c>
      <c r="V360" s="334" t="str" cm="1">
        <f t="array" ref="V360">IF($C360&lt;&gt;"bitte wählen",INDEX(ListeLebensmittelIFEU,V$189+1,$P360),"")</f>
        <v/>
      </c>
      <c r="W360" s="334" t="str" cm="1">
        <f t="array" ref="W360">IF($C360&lt;&gt;"bitte wählen",INDEX(ListeLebensmittelIFEU,W$189+1,$P360),"")</f>
        <v/>
      </c>
      <c r="X360" s="334" t="str" cm="1">
        <f t="array" ref="X360">IF($C360&lt;&gt;"bitte wählen",INDEX(ListeLebensmittelIFEU,X$189+1,$P360),"")</f>
        <v/>
      </c>
      <c r="Y360" s="334" t="str" cm="1">
        <f t="array" ref="Y360">IF($C360&lt;&gt;"bitte wählen",INDEX(ListeLebensmittelIFEU,Y$189+1,$P360),"")</f>
        <v/>
      </c>
      <c r="Z360" s="334" t="str" cm="1">
        <f t="array" ref="Z360">IF($C360&lt;&gt;"bitte wählen",INDEX(ListeLebensmittelIFEU,Z$189+1,$P360),"")</f>
        <v/>
      </c>
      <c r="AA360" s="334" t="str" cm="1">
        <f t="array" ref="AA360">IF($C360&lt;&gt;"bitte wählen",INDEX(ListeLebensmittelIFEU,AA$189+1,$P360),"")</f>
        <v/>
      </c>
      <c r="AB360" s="334" t="str" cm="1">
        <f t="array" ref="AB360">IF($C360&lt;&gt;"bitte wählen",INDEX(ListeLebensmittelIFEU,AB$189+1,$P360),"")</f>
        <v/>
      </c>
      <c r="AC360" s="334" t="str" cm="1">
        <f t="array" ref="AC360">IF($C360&lt;&gt;"bitte wählen",INDEX(ListeLebensmittelIFEU,AC$189+1,$P360),"")</f>
        <v/>
      </c>
      <c r="AD360" s="334" t="str" cm="1">
        <f t="array" ref="AD360">IF($C360&lt;&gt;"bitte wählen",INDEX(ListeLebensmittelIFEU,AD$189+1,$P360),"")</f>
        <v/>
      </c>
      <c r="AE360" s="334" t="str" cm="1">
        <f t="array" ref="AE360">IF($C360&lt;&gt;"bitte wählen",INDEX(ListeLebensmittelIFEU,AE$189+1,$P360),"")</f>
        <v/>
      </c>
      <c r="AF360" s="334" t="str" cm="1">
        <f t="array" ref="AF360">IF($C360&lt;&gt;"bitte wählen",INDEX(ListeLebensmittelIFEU,AF$189+1,$P360),"")</f>
        <v/>
      </c>
      <c r="AG360" s="334" t="str" cm="1">
        <f t="array" ref="AG360">IF($C360&lt;&gt;"bitte wählen",INDEX(ListeLebensmittelIFEU,AG$189+1,$P360),"")</f>
        <v/>
      </c>
      <c r="AH360" s="334" t="str" cm="1">
        <f t="array" ref="AH360">IF($C360&lt;&gt;"bitte wählen",INDEX(ListeLebensmittelIFEU,AH$189+1,$P360),"")</f>
        <v/>
      </c>
      <c r="AI360" s="334" t="str" cm="1">
        <f t="array" ref="AI360">IF($C360&lt;&gt;"bitte wählen",INDEX(ListeLebensmittelIFEU,AI$189+1,$P360),"")</f>
        <v/>
      </c>
      <c r="AJ360" s="334" t="str" cm="1">
        <f t="array" ref="AJ360">IF($C360&lt;&gt;"bitte wählen",INDEX(ListeLebensmittelIFEU,AJ$189+1,$P360),"")</f>
        <v/>
      </c>
      <c r="AK360" s="334" t="str" cm="1">
        <f t="array" ref="AK360">IF($C360&lt;&gt;"bitte wählen",INDEX(ListeLebensmittelIFEU,AK$189+1,$P360),"")</f>
        <v/>
      </c>
      <c r="AL360" s="334" t="str" cm="1">
        <f t="array" ref="AL360">IF($C360&lt;&gt;"bitte wählen",INDEX(ListeLebensmittelIFEU,AL$189+1,$P360),"")</f>
        <v/>
      </c>
      <c r="AM360" s="334" t="str" cm="1">
        <f t="array" ref="AM360">IF($C360&lt;&gt;"bitte wählen",INDEX(ListeLebensmittelIFEU,AM$189+1,$P360),"")</f>
        <v/>
      </c>
      <c r="AN360" s="334" t="str" cm="1">
        <f t="array" ref="AN360">IF($C360&lt;&gt;"bitte wählen",INDEX(ListeLebensmittelIFEU,AN$189+1,$P360),"")</f>
        <v/>
      </c>
      <c r="AO360" s="334" t="str" cm="1">
        <f t="array" ref="AO360">IF($C360&lt;&gt;"bitte wählen",INDEX(ListeLebensmittelIFEU,AO$189+1,$P360),"")</f>
        <v/>
      </c>
      <c r="AP360" s="334" t="str" cm="1">
        <f t="array" ref="AP360">IF($C360&lt;&gt;"bitte wählen",INDEX(ListeLebensmittelIFEU,AP$189+1,$P360),"")</f>
        <v/>
      </c>
      <c r="AQ360" s="334" t="str" cm="1">
        <f t="array" ref="AQ360">IF($C360&lt;&gt;"bitte wählen",INDEX(ListeLebensmittelIFEU,AQ$189+1,$P360),"")</f>
        <v/>
      </c>
      <c r="AR360" s="334" t="str" cm="1">
        <f t="array" ref="AR360">IF($C360&lt;&gt;"bitte wählen",INDEX(ListeLebensmittelIFEU,AR$189+1,$P360),"")</f>
        <v/>
      </c>
      <c r="AS360" s="334" t="str" cm="1">
        <f t="array" ref="AS360">IF($C360&lt;&gt;"bitte wählen",INDEX(ListeLebensmittelIFEU,AS$189+1,$P360),"")</f>
        <v/>
      </c>
      <c r="AT360" s="334" t="str" cm="1">
        <f t="array" ref="AT360">IF($C360&lt;&gt;"bitte wählen",INDEX(ListeLebensmittelIFEU,AT$189+1,$P360),"")</f>
        <v/>
      </c>
      <c r="AU360" s="334" t="str" cm="1">
        <f t="array" ref="AU360">IF($C360&lt;&gt;"bitte wählen",INDEX(ListeLebensmittelIFEU,AU$189+1,$P360),"")</f>
        <v/>
      </c>
      <c r="AV360" s="334" t="str" cm="1">
        <f t="array" ref="AV360">IF($C360&lt;&gt;"bitte wählen",INDEX(ListeLebensmittelIFEU,AV$189+1,$P360),"")</f>
        <v/>
      </c>
      <c r="AW360" s="334" t="str" cm="1">
        <f t="array" ref="AW360">IF($C360&lt;&gt;"bitte wählen",INDEX(ListeLebensmittelIFEU,AW$189+1,$P360),"")</f>
        <v/>
      </c>
      <c r="AX360" s="334" t="str" cm="1">
        <f t="array" ref="AX360">IF($C360&lt;&gt;"bitte wählen",INDEX(ListeLebensmittelIFEU,AX$189+1,$P360),"")</f>
        <v/>
      </c>
      <c r="AY360" s="334" t="str" cm="1">
        <f t="array" ref="AY360">IF($C360&lt;&gt;"bitte wählen",INDEX(ListeLebensmittelIFEU,AY$189+1,$P360),"")</f>
        <v/>
      </c>
      <c r="AZ360" s="335" t="str" cm="1">
        <f t="array" ref="AZ360">IF($C360&lt;&gt;"bitte wählen",INDEX(ListeLebensmittelIFEU,AZ$189+1,$P360),"")</f>
        <v/>
      </c>
    </row>
    <row r="361" spans="1:52" x14ac:dyDescent="0.3">
      <c r="B361" t="s">
        <v>328</v>
      </c>
      <c r="C361" s="471" t="s">
        <v>27</v>
      </c>
      <c r="D361" s="472"/>
      <c r="E361" s="349"/>
      <c r="F361" s="473" t="s">
        <v>12</v>
      </c>
      <c r="G361" s="350" t="str">
        <f t="shared" si="86"/>
        <v/>
      </c>
      <c r="H361" s="293" t="str">
        <f t="shared" si="87"/>
        <v/>
      </c>
      <c r="P361" s="333">
        <f t="shared" si="88"/>
        <v>22</v>
      </c>
      <c r="Q361" s="334" t="e">
        <f t="shared" si="91"/>
        <v>#N/A</v>
      </c>
      <c r="R361" s="359">
        <f t="shared" si="89"/>
        <v>0</v>
      </c>
      <c r="S361" s="380">
        <f t="shared" si="90"/>
        <v>0</v>
      </c>
      <c r="T361" s="333" t="str" cm="1">
        <f t="array" ref="T361">IF($C361&lt;&gt;"bitte wählen",INDEX(ListeLebensmittelIFEU,T$189+1,$P361),"")</f>
        <v/>
      </c>
      <c r="U361" s="334" t="str" cm="1">
        <f t="array" ref="U361">IF($C361&lt;&gt;"bitte wählen",INDEX(ListeLebensmittelIFEU,U$189+1,$P361),"")</f>
        <v/>
      </c>
      <c r="V361" s="334" t="str" cm="1">
        <f t="array" ref="V361">IF($C361&lt;&gt;"bitte wählen",INDEX(ListeLebensmittelIFEU,V$189+1,$P361),"")</f>
        <v/>
      </c>
      <c r="W361" s="334" t="str" cm="1">
        <f t="array" ref="W361">IF($C361&lt;&gt;"bitte wählen",INDEX(ListeLebensmittelIFEU,W$189+1,$P361),"")</f>
        <v/>
      </c>
      <c r="X361" s="334" t="str" cm="1">
        <f t="array" ref="X361">IF($C361&lt;&gt;"bitte wählen",INDEX(ListeLebensmittelIFEU,X$189+1,$P361),"")</f>
        <v/>
      </c>
      <c r="Y361" s="334" t="str" cm="1">
        <f t="array" ref="Y361">IF($C361&lt;&gt;"bitte wählen",INDEX(ListeLebensmittelIFEU,Y$189+1,$P361),"")</f>
        <v/>
      </c>
      <c r="Z361" s="334" t="str" cm="1">
        <f t="array" ref="Z361">IF($C361&lt;&gt;"bitte wählen",INDEX(ListeLebensmittelIFEU,Z$189+1,$P361),"")</f>
        <v/>
      </c>
      <c r="AA361" s="334" t="str" cm="1">
        <f t="array" ref="AA361">IF($C361&lt;&gt;"bitte wählen",INDEX(ListeLebensmittelIFEU,AA$189+1,$P361),"")</f>
        <v/>
      </c>
      <c r="AB361" s="334" t="str" cm="1">
        <f t="array" ref="AB361">IF($C361&lt;&gt;"bitte wählen",INDEX(ListeLebensmittelIFEU,AB$189+1,$P361),"")</f>
        <v/>
      </c>
      <c r="AC361" s="334" t="str" cm="1">
        <f t="array" ref="AC361">IF($C361&lt;&gt;"bitte wählen",INDEX(ListeLebensmittelIFEU,AC$189+1,$P361),"")</f>
        <v/>
      </c>
      <c r="AD361" s="334" t="str" cm="1">
        <f t="array" ref="AD361">IF($C361&lt;&gt;"bitte wählen",INDEX(ListeLebensmittelIFEU,AD$189+1,$P361),"")</f>
        <v/>
      </c>
      <c r="AE361" s="334" t="str" cm="1">
        <f t="array" ref="AE361">IF($C361&lt;&gt;"bitte wählen",INDEX(ListeLebensmittelIFEU,AE$189+1,$P361),"")</f>
        <v/>
      </c>
      <c r="AF361" s="334" t="str" cm="1">
        <f t="array" ref="AF361">IF($C361&lt;&gt;"bitte wählen",INDEX(ListeLebensmittelIFEU,AF$189+1,$P361),"")</f>
        <v/>
      </c>
      <c r="AG361" s="334" t="str" cm="1">
        <f t="array" ref="AG361">IF($C361&lt;&gt;"bitte wählen",INDEX(ListeLebensmittelIFEU,AG$189+1,$P361),"")</f>
        <v/>
      </c>
      <c r="AH361" s="334" t="str" cm="1">
        <f t="array" ref="AH361">IF($C361&lt;&gt;"bitte wählen",INDEX(ListeLebensmittelIFEU,AH$189+1,$P361),"")</f>
        <v/>
      </c>
      <c r="AI361" s="334" t="str" cm="1">
        <f t="array" ref="AI361">IF($C361&lt;&gt;"bitte wählen",INDEX(ListeLebensmittelIFEU,AI$189+1,$P361),"")</f>
        <v/>
      </c>
      <c r="AJ361" s="334" t="str" cm="1">
        <f t="array" ref="AJ361">IF($C361&lt;&gt;"bitte wählen",INDEX(ListeLebensmittelIFEU,AJ$189+1,$P361),"")</f>
        <v/>
      </c>
      <c r="AK361" s="334" t="str" cm="1">
        <f t="array" ref="AK361">IF($C361&lt;&gt;"bitte wählen",INDEX(ListeLebensmittelIFEU,AK$189+1,$P361),"")</f>
        <v/>
      </c>
      <c r="AL361" s="334" t="str" cm="1">
        <f t="array" ref="AL361">IF($C361&lt;&gt;"bitte wählen",INDEX(ListeLebensmittelIFEU,AL$189+1,$P361),"")</f>
        <v/>
      </c>
      <c r="AM361" s="334" t="str" cm="1">
        <f t="array" ref="AM361">IF($C361&lt;&gt;"bitte wählen",INDEX(ListeLebensmittelIFEU,AM$189+1,$P361),"")</f>
        <v/>
      </c>
      <c r="AN361" s="334" t="str" cm="1">
        <f t="array" ref="AN361">IF($C361&lt;&gt;"bitte wählen",INDEX(ListeLebensmittelIFEU,AN$189+1,$P361),"")</f>
        <v/>
      </c>
      <c r="AO361" s="334" t="str" cm="1">
        <f t="array" ref="AO361">IF($C361&lt;&gt;"bitte wählen",INDEX(ListeLebensmittelIFEU,AO$189+1,$P361),"")</f>
        <v/>
      </c>
      <c r="AP361" s="334" t="str" cm="1">
        <f t="array" ref="AP361">IF($C361&lt;&gt;"bitte wählen",INDEX(ListeLebensmittelIFEU,AP$189+1,$P361),"")</f>
        <v/>
      </c>
      <c r="AQ361" s="334" t="str" cm="1">
        <f t="array" ref="AQ361">IF($C361&lt;&gt;"bitte wählen",INDEX(ListeLebensmittelIFEU,AQ$189+1,$P361),"")</f>
        <v/>
      </c>
      <c r="AR361" s="334" t="str" cm="1">
        <f t="array" ref="AR361">IF($C361&lt;&gt;"bitte wählen",INDEX(ListeLebensmittelIFEU,AR$189+1,$P361),"")</f>
        <v/>
      </c>
      <c r="AS361" s="334" t="str" cm="1">
        <f t="array" ref="AS361">IF($C361&lt;&gt;"bitte wählen",INDEX(ListeLebensmittelIFEU,AS$189+1,$P361),"")</f>
        <v/>
      </c>
      <c r="AT361" s="334" t="str" cm="1">
        <f t="array" ref="AT361">IF($C361&lt;&gt;"bitte wählen",INDEX(ListeLebensmittelIFEU,AT$189+1,$P361),"")</f>
        <v/>
      </c>
      <c r="AU361" s="334" t="str" cm="1">
        <f t="array" ref="AU361">IF($C361&lt;&gt;"bitte wählen",INDEX(ListeLebensmittelIFEU,AU$189+1,$P361),"")</f>
        <v/>
      </c>
      <c r="AV361" s="334" t="str" cm="1">
        <f t="array" ref="AV361">IF($C361&lt;&gt;"bitte wählen",INDEX(ListeLebensmittelIFEU,AV$189+1,$P361),"")</f>
        <v/>
      </c>
      <c r="AW361" s="334" t="str" cm="1">
        <f t="array" ref="AW361">IF($C361&lt;&gt;"bitte wählen",INDEX(ListeLebensmittelIFEU,AW$189+1,$P361),"")</f>
        <v/>
      </c>
      <c r="AX361" s="334" t="str" cm="1">
        <f t="array" ref="AX361">IF($C361&lt;&gt;"bitte wählen",INDEX(ListeLebensmittelIFEU,AX$189+1,$P361),"")</f>
        <v/>
      </c>
      <c r="AY361" s="334" t="str" cm="1">
        <f t="array" ref="AY361">IF($C361&lt;&gt;"bitte wählen",INDEX(ListeLebensmittelIFEU,AY$189+1,$P361),"")</f>
        <v/>
      </c>
      <c r="AZ361" s="335" t="str" cm="1">
        <f t="array" ref="AZ361">IF($C361&lt;&gt;"bitte wählen",INDEX(ListeLebensmittelIFEU,AZ$189+1,$P361),"")</f>
        <v/>
      </c>
    </row>
    <row r="362" spans="1:52" x14ac:dyDescent="0.3">
      <c r="B362" t="s">
        <v>329</v>
      </c>
      <c r="C362" s="471" t="s">
        <v>27</v>
      </c>
      <c r="D362" s="472"/>
      <c r="E362" s="349"/>
      <c r="F362" s="473" t="s">
        <v>12</v>
      </c>
      <c r="G362" s="350" t="str">
        <f t="shared" si="86"/>
        <v/>
      </c>
      <c r="H362" s="293" t="str">
        <f t="shared" si="87"/>
        <v/>
      </c>
      <c r="P362" s="333">
        <f t="shared" si="88"/>
        <v>22</v>
      </c>
      <c r="Q362" s="334" t="e">
        <f t="shared" si="91"/>
        <v>#N/A</v>
      </c>
      <c r="R362" s="359">
        <f t="shared" si="89"/>
        <v>0</v>
      </c>
      <c r="S362" s="380">
        <f t="shared" si="90"/>
        <v>0</v>
      </c>
      <c r="T362" s="333" t="str" cm="1">
        <f t="array" ref="T362">IF($C362&lt;&gt;"bitte wählen",INDEX(ListeLebensmittelIFEU,T$189+1,$P362),"")</f>
        <v/>
      </c>
      <c r="U362" s="334" t="str" cm="1">
        <f t="array" ref="U362">IF($C362&lt;&gt;"bitte wählen",INDEX(ListeLebensmittelIFEU,U$189+1,$P362),"")</f>
        <v/>
      </c>
      <c r="V362" s="334" t="str" cm="1">
        <f t="array" ref="V362">IF($C362&lt;&gt;"bitte wählen",INDEX(ListeLebensmittelIFEU,V$189+1,$P362),"")</f>
        <v/>
      </c>
      <c r="W362" s="334" t="str" cm="1">
        <f t="array" ref="W362">IF($C362&lt;&gt;"bitte wählen",INDEX(ListeLebensmittelIFEU,W$189+1,$P362),"")</f>
        <v/>
      </c>
      <c r="X362" s="334" t="str" cm="1">
        <f t="array" ref="X362">IF($C362&lt;&gt;"bitte wählen",INDEX(ListeLebensmittelIFEU,X$189+1,$P362),"")</f>
        <v/>
      </c>
      <c r="Y362" s="334" t="str" cm="1">
        <f t="array" ref="Y362">IF($C362&lt;&gt;"bitte wählen",INDEX(ListeLebensmittelIFEU,Y$189+1,$P362),"")</f>
        <v/>
      </c>
      <c r="Z362" s="334" t="str" cm="1">
        <f t="array" ref="Z362">IF($C362&lt;&gt;"bitte wählen",INDEX(ListeLebensmittelIFEU,Z$189+1,$P362),"")</f>
        <v/>
      </c>
      <c r="AA362" s="334" t="str" cm="1">
        <f t="array" ref="AA362">IF($C362&lt;&gt;"bitte wählen",INDEX(ListeLebensmittelIFEU,AA$189+1,$P362),"")</f>
        <v/>
      </c>
      <c r="AB362" s="334" t="str" cm="1">
        <f t="array" ref="AB362">IF($C362&lt;&gt;"bitte wählen",INDEX(ListeLebensmittelIFEU,AB$189+1,$P362),"")</f>
        <v/>
      </c>
      <c r="AC362" s="334" t="str" cm="1">
        <f t="array" ref="AC362">IF($C362&lt;&gt;"bitte wählen",INDEX(ListeLebensmittelIFEU,AC$189+1,$P362),"")</f>
        <v/>
      </c>
      <c r="AD362" s="334" t="str" cm="1">
        <f t="array" ref="AD362">IF($C362&lt;&gt;"bitte wählen",INDEX(ListeLebensmittelIFEU,AD$189+1,$P362),"")</f>
        <v/>
      </c>
      <c r="AE362" s="334" t="str" cm="1">
        <f t="array" ref="AE362">IF($C362&lt;&gt;"bitte wählen",INDEX(ListeLebensmittelIFEU,AE$189+1,$P362),"")</f>
        <v/>
      </c>
      <c r="AF362" s="334" t="str" cm="1">
        <f t="array" ref="AF362">IF($C362&lt;&gt;"bitte wählen",INDEX(ListeLebensmittelIFEU,AF$189+1,$P362),"")</f>
        <v/>
      </c>
      <c r="AG362" s="334" t="str" cm="1">
        <f t="array" ref="AG362">IF($C362&lt;&gt;"bitte wählen",INDEX(ListeLebensmittelIFEU,AG$189+1,$P362),"")</f>
        <v/>
      </c>
      <c r="AH362" s="334" t="str" cm="1">
        <f t="array" ref="AH362">IF($C362&lt;&gt;"bitte wählen",INDEX(ListeLebensmittelIFEU,AH$189+1,$P362),"")</f>
        <v/>
      </c>
      <c r="AI362" s="334" t="str" cm="1">
        <f t="array" ref="AI362">IF($C362&lt;&gt;"bitte wählen",INDEX(ListeLebensmittelIFEU,AI$189+1,$P362),"")</f>
        <v/>
      </c>
      <c r="AJ362" s="334" t="str" cm="1">
        <f t="array" ref="AJ362">IF($C362&lt;&gt;"bitte wählen",INDEX(ListeLebensmittelIFEU,AJ$189+1,$P362),"")</f>
        <v/>
      </c>
      <c r="AK362" s="334" t="str" cm="1">
        <f t="array" ref="AK362">IF($C362&lt;&gt;"bitte wählen",INDEX(ListeLebensmittelIFEU,AK$189+1,$P362),"")</f>
        <v/>
      </c>
      <c r="AL362" s="334" t="str" cm="1">
        <f t="array" ref="AL362">IF($C362&lt;&gt;"bitte wählen",INDEX(ListeLebensmittelIFEU,AL$189+1,$P362),"")</f>
        <v/>
      </c>
      <c r="AM362" s="334" t="str" cm="1">
        <f t="array" ref="AM362">IF($C362&lt;&gt;"bitte wählen",INDEX(ListeLebensmittelIFEU,AM$189+1,$P362),"")</f>
        <v/>
      </c>
      <c r="AN362" s="334" t="str" cm="1">
        <f t="array" ref="AN362">IF($C362&lt;&gt;"bitte wählen",INDEX(ListeLebensmittelIFEU,AN$189+1,$P362),"")</f>
        <v/>
      </c>
      <c r="AO362" s="334" t="str" cm="1">
        <f t="array" ref="AO362">IF($C362&lt;&gt;"bitte wählen",INDEX(ListeLebensmittelIFEU,AO$189+1,$P362),"")</f>
        <v/>
      </c>
      <c r="AP362" s="334" t="str" cm="1">
        <f t="array" ref="AP362">IF($C362&lt;&gt;"bitte wählen",INDEX(ListeLebensmittelIFEU,AP$189+1,$P362),"")</f>
        <v/>
      </c>
      <c r="AQ362" s="334" t="str" cm="1">
        <f t="array" ref="AQ362">IF($C362&lt;&gt;"bitte wählen",INDEX(ListeLebensmittelIFEU,AQ$189+1,$P362),"")</f>
        <v/>
      </c>
      <c r="AR362" s="334" t="str" cm="1">
        <f t="array" ref="AR362">IF($C362&lt;&gt;"bitte wählen",INDEX(ListeLebensmittelIFEU,AR$189+1,$P362),"")</f>
        <v/>
      </c>
      <c r="AS362" s="334" t="str" cm="1">
        <f t="array" ref="AS362">IF($C362&lt;&gt;"bitte wählen",INDEX(ListeLebensmittelIFEU,AS$189+1,$P362),"")</f>
        <v/>
      </c>
      <c r="AT362" s="334" t="str" cm="1">
        <f t="array" ref="AT362">IF($C362&lt;&gt;"bitte wählen",INDEX(ListeLebensmittelIFEU,AT$189+1,$P362),"")</f>
        <v/>
      </c>
      <c r="AU362" s="334" t="str" cm="1">
        <f t="array" ref="AU362">IF($C362&lt;&gt;"bitte wählen",INDEX(ListeLebensmittelIFEU,AU$189+1,$P362),"")</f>
        <v/>
      </c>
      <c r="AV362" s="334" t="str" cm="1">
        <f t="array" ref="AV362">IF($C362&lt;&gt;"bitte wählen",INDEX(ListeLebensmittelIFEU,AV$189+1,$P362),"")</f>
        <v/>
      </c>
      <c r="AW362" s="334" t="str" cm="1">
        <f t="array" ref="AW362">IF($C362&lt;&gt;"bitte wählen",INDEX(ListeLebensmittelIFEU,AW$189+1,$P362),"")</f>
        <v/>
      </c>
      <c r="AX362" s="334" t="str" cm="1">
        <f t="array" ref="AX362">IF($C362&lt;&gt;"bitte wählen",INDEX(ListeLebensmittelIFEU,AX$189+1,$P362),"")</f>
        <v/>
      </c>
      <c r="AY362" s="334" t="str" cm="1">
        <f t="array" ref="AY362">IF($C362&lt;&gt;"bitte wählen",INDEX(ListeLebensmittelIFEU,AY$189+1,$P362),"")</f>
        <v/>
      </c>
      <c r="AZ362" s="335" t="str" cm="1">
        <f t="array" ref="AZ362">IF($C362&lt;&gt;"bitte wählen",INDEX(ListeLebensmittelIFEU,AZ$189+1,$P362),"")</f>
        <v/>
      </c>
    </row>
    <row r="363" spans="1:52" x14ac:dyDescent="0.3">
      <c r="B363" t="s">
        <v>330</v>
      </c>
      <c r="C363" s="471" t="s">
        <v>27</v>
      </c>
      <c r="D363" s="472"/>
      <c r="E363" s="349"/>
      <c r="F363" s="473" t="s">
        <v>12</v>
      </c>
      <c r="G363" s="350" t="str">
        <f t="shared" si="86"/>
        <v/>
      </c>
      <c r="H363" s="293" t="str">
        <f t="shared" si="87"/>
        <v/>
      </c>
      <c r="P363" s="333">
        <f t="shared" si="88"/>
        <v>22</v>
      </c>
      <c r="Q363" s="334" t="e">
        <f t="shared" si="91"/>
        <v>#N/A</v>
      </c>
      <c r="R363" s="359">
        <f t="shared" si="89"/>
        <v>0</v>
      </c>
      <c r="S363" s="380">
        <f t="shared" si="90"/>
        <v>0</v>
      </c>
      <c r="T363" s="333" t="str" cm="1">
        <f t="array" ref="T363">IF($C363&lt;&gt;"bitte wählen",INDEX(ListeLebensmittelIFEU,T$189+1,$P363),"")</f>
        <v/>
      </c>
      <c r="U363" s="334" t="str" cm="1">
        <f t="array" ref="U363">IF($C363&lt;&gt;"bitte wählen",INDEX(ListeLebensmittelIFEU,U$189+1,$P363),"")</f>
        <v/>
      </c>
      <c r="V363" s="334" t="str" cm="1">
        <f t="array" ref="V363">IF($C363&lt;&gt;"bitte wählen",INDEX(ListeLebensmittelIFEU,V$189+1,$P363),"")</f>
        <v/>
      </c>
      <c r="W363" s="334" t="str" cm="1">
        <f t="array" ref="W363">IF($C363&lt;&gt;"bitte wählen",INDEX(ListeLebensmittelIFEU,W$189+1,$P363),"")</f>
        <v/>
      </c>
      <c r="X363" s="334" t="str" cm="1">
        <f t="array" ref="X363">IF($C363&lt;&gt;"bitte wählen",INDEX(ListeLebensmittelIFEU,X$189+1,$P363),"")</f>
        <v/>
      </c>
      <c r="Y363" s="334" t="str" cm="1">
        <f t="array" ref="Y363">IF($C363&lt;&gt;"bitte wählen",INDEX(ListeLebensmittelIFEU,Y$189+1,$P363),"")</f>
        <v/>
      </c>
      <c r="Z363" s="334" t="str" cm="1">
        <f t="array" ref="Z363">IF($C363&lt;&gt;"bitte wählen",INDEX(ListeLebensmittelIFEU,Z$189+1,$P363),"")</f>
        <v/>
      </c>
      <c r="AA363" s="334" t="str" cm="1">
        <f t="array" ref="AA363">IF($C363&lt;&gt;"bitte wählen",INDEX(ListeLebensmittelIFEU,AA$189+1,$P363),"")</f>
        <v/>
      </c>
      <c r="AB363" s="334" t="str" cm="1">
        <f t="array" ref="AB363">IF($C363&lt;&gt;"bitte wählen",INDEX(ListeLebensmittelIFEU,AB$189+1,$P363),"")</f>
        <v/>
      </c>
      <c r="AC363" s="334" t="str" cm="1">
        <f t="array" ref="AC363">IF($C363&lt;&gt;"bitte wählen",INDEX(ListeLebensmittelIFEU,AC$189+1,$P363),"")</f>
        <v/>
      </c>
      <c r="AD363" s="334" t="str" cm="1">
        <f t="array" ref="AD363">IF($C363&lt;&gt;"bitte wählen",INDEX(ListeLebensmittelIFEU,AD$189+1,$P363),"")</f>
        <v/>
      </c>
      <c r="AE363" s="334" t="str" cm="1">
        <f t="array" ref="AE363">IF($C363&lt;&gt;"bitte wählen",INDEX(ListeLebensmittelIFEU,AE$189+1,$P363),"")</f>
        <v/>
      </c>
      <c r="AF363" s="334" t="str" cm="1">
        <f t="array" ref="AF363">IF($C363&lt;&gt;"bitte wählen",INDEX(ListeLebensmittelIFEU,AF$189+1,$P363),"")</f>
        <v/>
      </c>
      <c r="AG363" s="334" t="str" cm="1">
        <f t="array" ref="AG363">IF($C363&lt;&gt;"bitte wählen",INDEX(ListeLebensmittelIFEU,AG$189+1,$P363),"")</f>
        <v/>
      </c>
      <c r="AH363" s="334" t="str" cm="1">
        <f t="array" ref="AH363">IF($C363&lt;&gt;"bitte wählen",INDEX(ListeLebensmittelIFEU,AH$189+1,$P363),"")</f>
        <v/>
      </c>
      <c r="AI363" s="334" t="str" cm="1">
        <f t="array" ref="AI363">IF($C363&lt;&gt;"bitte wählen",INDEX(ListeLebensmittelIFEU,AI$189+1,$P363),"")</f>
        <v/>
      </c>
      <c r="AJ363" s="334" t="str" cm="1">
        <f t="array" ref="AJ363">IF($C363&lt;&gt;"bitte wählen",INDEX(ListeLebensmittelIFEU,AJ$189+1,$P363),"")</f>
        <v/>
      </c>
      <c r="AK363" s="334" t="str" cm="1">
        <f t="array" ref="AK363">IF($C363&lt;&gt;"bitte wählen",INDEX(ListeLebensmittelIFEU,AK$189+1,$P363),"")</f>
        <v/>
      </c>
      <c r="AL363" s="334" t="str" cm="1">
        <f t="array" ref="AL363">IF($C363&lt;&gt;"bitte wählen",INDEX(ListeLebensmittelIFEU,AL$189+1,$P363),"")</f>
        <v/>
      </c>
      <c r="AM363" s="334" t="str" cm="1">
        <f t="array" ref="AM363">IF($C363&lt;&gt;"bitte wählen",INDEX(ListeLebensmittelIFEU,AM$189+1,$P363),"")</f>
        <v/>
      </c>
      <c r="AN363" s="334" t="str" cm="1">
        <f t="array" ref="AN363">IF($C363&lt;&gt;"bitte wählen",INDEX(ListeLebensmittelIFEU,AN$189+1,$P363),"")</f>
        <v/>
      </c>
      <c r="AO363" s="334" t="str" cm="1">
        <f t="array" ref="AO363">IF($C363&lt;&gt;"bitte wählen",INDEX(ListeLebensmittelIFEU,AO$189+1,$P363),"")</f>
        <v/>
      </c>
      <c r="AP363" s="334" t="str" cm="1">
        <f t="array" ref="AP363">IF($C363&lt;&gt;"bitte wählen",INDEX(ListeLebensmittelIFEU,AP$189+1,$P363),"")</f>
        <v/>
      </c>
      <c r="AQ363" s="334" t="str" cm="1">
        <f t="array" ref="AQ363">IF($C363&lt;&gt;"bitte wählen",INDEX(ListeLebensmittelIFEU,AQ$189+1,$P363),"")</f>
        <v/>
      </c>
      <c r="AR363" s="334" t="str" cm="1">
        <f t="array" ref="AR363">IF($C363&lt;&gt;"bitte wählen",INDEX(ListeLebensmittelIFEU,AR$189+1,$P363),"")</f>
        <v/>
      </c>
      <c r="AS363" s="334" t="str" cm="1">
        <f t="array" ref="AS363">IF($C363&lt;&gt;"bitte wählen",INDEX(ListeLebensmittelIFEU,AS$189+1,$P363),"")</f>
        <v/>
      </c>
      <c r="AT363" s="334" t="str" cm="1">
        <f t="array" ref="AT363">IF($C363&lt;&gt;"bitte wählen",INDEX(ListeLebensmittelIFEU,AT$189+1,$P363),"")</f>
        <v/>
      </c>
      <c r="AU363" s="334" t="str" cm="1">
        <f t="array" ref="AU363">IF($C363&lt;&gt;"bitte wählen",INDEX(ListeLebensmittelIFEU,AU$189+1,$P363),"")</f>
        <v/>
      </c>
      <c r="AV363" s="334" t="str" cm="1">
        <f t="array" ref="AV363">IF($C363&lt;&gt;"bitte wählen",INDEX(ListeLebensmittelIFEU,AV$189+1,$P363),"")</f>
        <v/>
      </c>
      <c r="AW363" s="334" t="str" cm="1">
        <f t="array" ref="AW363">IF($C363&lt;&gt;"bitte wählen",INDEX(ListeLebensmittelIFEU,AW$189+1,$P363),"")</f>
        <v/>
      </c>
      <c r="AX363" s="334" t="str" cm="1">
        <f t="array" ref="AX363">IF($C363&lt;&gt;"bitte wählen",INDEX(ListeLebensmittelIFEU,AX$189+1,$P363),"")</f>
        <v/>
      </c>
      <c r="AY363" s="334" t="str" cm="1">
        <f t="array" ref="AY363">IF($C363&lt;&gt;"bitte wählen",INDEX(ListeLebensmittelIFEU,AY$189+1,$P363),"")</f>
        <v/>
      </c>
      <c r="AZ363" s="335" t="str" cm="1">
        <f t="array" ref="AZ363">IF($C363&lt;&gt;"bitte wählen",INDEX(ListeLebensmittelIFEU,AZ$189+1,$P363),"")</f>
        <v/>
      </c>
    </row>
    <row r="364" spans="1:52" x14ac:dyDescent="0.3">
      <c r="B364" t="s">
        <v>398</v>
      </c>
      <c r="C364" s="471" t="s">
        <v>27</v>
      </c>
      <c r="D364" s="472"/>
      <c r="E364" s="349"/>
      <c r="F364" s="473" t="s">
        <v>12</v>
      </c>
      <c r="G364" s="350" t="str">
        <f t="shared" si="86"/>
        <v/>
      </c>
      <c r="H364" s="293" t="str">
        <f t="shared" si="87"/>
        <v/>
      </c>
      <c r="P364" s="336">
        <f t="shared" si="88"/>
        <v>22</v>
      </c>
      <c r="Q364" s="337" t="e">
        <f t="shared" si="91"/>
        <v>#N/A</v>
      </c>
      <c r="R364" s="360">
        <f t="shared" si="89"/>
        <v>0</v>
      </c>
      <c r="S364" s="381">
        <f t="shared" si="90"/>
        <v>0</v>
      </c>
      <c r="T364" s="336" t="str" cm="1">
        <f t="array" ref="T364">IF($C364&lt;&gt;"bitte wählen",INDEX(ListeLebensmittelIFEU,T$189+1,$P364),"")</f>
        <v/>
      </c>
      <c r="U364" s="337" t="str" cm="1">
        <f t="array" ref="U364">IF($C364&lt;&gt;"bitte wählen",INDEX(ListeLebensmittelIFEU,U$189+1,$P364),"")</f>
        <v/>
      </c>
      <c r="V364" s="337" t="str" cm="1">
        <f t="array" ref="V364">IF($C364&lt;&gt;"bitte wählen",INDEX(ListeLebensmittelIFEU,V$189+1,$P364),"")</f>
        <v/>
      </c>
      <c r="W364" s="337" t="str" cm="1">
        <f t="array" ref="W364">IF($C364&lt;&gt;"bitte wählen",INDEX(ListeLebensmittelIFEU,W$189+1,$P364),"")</f>
        <v/>
      </c>
      <c r="X364" s="337" t="str" cm="1">
        <f t="array" ref="X364">IF($C364&lt;&gt;"bitte wählen",INDEX(ListeLebensmittelIFEU,X$189+1,$P364),"")</f>
        <v/>
      </c>
      <c r="Y364" s="337" t="str" cm="1">
        <f t="array" ref="Y364">IF($C364&lt;&gt;"bitte wählen",INDEX(ListeLebensmittelIFEU,Y$189+1,$P364),"")</f>
        <v/>
      </c>
      <c r="Z364" s="337" t="str" cm="1">
        <f t="array" ref="Z364">IF($C364&lt;&gt;"bitte wählen",INDEX(ListeLebensmittelIFEU,Z$189+1,$P364),"")</f>
        <v/>
      </c>
      <c r="AA364" s="337" t="str" cm="1">
        <f t="array" ref="AA364">IF($C364&lt;&gt;"bitte wählen",INDEX(ListeLebensmittelIFEU,AA$189+1,$P364),"")</f>
        <v/>
      </c>
      <c r="AB364" s="337" t="str" cm="1">
        <f t="array" ref="AB364">IF($C364&lt;&gt;"bitte wählen",INDEX(ListeLebensmittelIFEU,AB$189+1,$P364),"")</f>
        <v/>
      </c>
      <c r="AC364" s="337" t="str" cm="1">
        <f t="array" ref="AC364">IF($C364&lt;&gt;"bitte wählen",INDEX(ListeLebensmittelIFEU,AC$189+1,$P364),"")</f>
        <v/>
      </c>
      <c r="AD364" s="337" t="str" cm="1">
        <f t="array" ref="AD364">IF($C364&lt;&gt;"bitte wählen",INDEX(ListeLebensmittelIFEU,AD$189+1,$P364),"")</f>
        <v/>
      </c>
      <c r="AE364" s="337" t="str" cm="1">
        <f t="array" ref="AE364">IF($C364&lt;&gt;"bitte wählen",INDEX(ListeLebensmittelIFEU,AE$189+1,$P364),"")</f>
        <v/>
      </c>
      <c r="AF364" s="337" t="str" cm="1">
        <f t="array" ref="AF364">IF($C364&lt;&gt;"bitte wählen",INDEX(ListeLebensmittelIFEU,AF$189+1,$P364),"")</f>
        <v/>
      </c>
      <c r="AG364" s="337" t="str" cm="1">
        <f t="array" ref="AG364">IF($C364&lt;&gt;"bitte wählen",INDEX(ListeLebensmittelIFEU,AG$189+1,$P364),"")</f>
        <v/>
      </c>
      <c r="AH364" s="337" t="str" cm="1">
        <f t="array" ref="AH364">IF($C364&lt;&gt;"bitte wählen",INDEX(ListeLebensmittelIFEU,AH$189+1,$P364),"")</f>
        <v/>
      </c>
      <c r="AI364" s="337" t="str" cm="1">
        <f t="array" ref="AI364">IF($C364&lt;&gt;"bitte wählen",INDEX(ListeLebensmittelIFEU,AI$189+1,$P364),"")</f>
        <v/>
      </c>
      <c r="AJ364" s="337" t="str" cm="1">
        <f t="array" ref="AJ364">IF($C364&lt;&gt;"bitte wählen",INDEX(ListeLebensmittelIFEU,AJ$189+1,$P364),"")</f>
        <v/>
      </c>
      <c r="AK364" s="337" t="str" cm="1">
        <f t="array" ref="AK364">IF($C364&lt;&gt;"bitte wählen",INDEX(ListeLebensmittelIFEU,AK$189+1,$P364),"")</f>
        <v/>
      </c>
      <c r="AL364" s="337" t="str" cm="1">
        <f t="array" ref="AL364">IF($C364&lt;&gt;"bitte wählen",INDEX(ListeLebensmittelIFEU,AL$189+1,$P364),"")</f>
        <v/>
      </c>
      <c r="AM364" s="337" t="str" cm="1">
        <f t="array" ref="AM364">IF($C364&lt;&gt;"bitte wählen",INDEX(ListeLebensmittelIFEU,AM$189+1,$P364),"")</f>
        <v/>
      </c>
      <c r="AN364" s="337" t="str" cm="1">
        <f t="array" ref="AN364">IF($C364&lt;&gt;"bitte wählen",INDEX(ListeLebensmittelIFEU,AN$189+1,$P364),"")</f>
        <v/>
      </c>
      <c r="AO364" s="337" t="str" cm="1">
        <f t="array" ref="AO364">IF($C364&lt;&gt;"bitte wählen",INDEX(ListeLebensmittelIFEU,AO$189+1,$P364),"")</f>
        <v/>
      </c>
      <c r="AP364" s="337" t="str" cm="1">
        <f t="array" ref="AP364">IF($C364&lt;&gt;"bitte wählen",INDEX(ListeLebensmittelIFEU,AP$189+1,$P364),"")</f>
        <v/>
      </c>
      <c r="AQ364" s="337" t="str" cm="1">
        <f t="array" ref="AQ364">IF($C364&lt;&gt;"bitte wählen",INDEX(ListeLebensmittelIFEU,AQ$189+1,$P364),"")</f>
        <v/>
      </c>
      <c r="AR364" s="337" t="str" cm="1">
        <f t="array" ref="AR364">IF($C364&lt;&gt;"bitte wählen",INDEX(ListeLebensmittelIFEU,AR$189+1,$P364),"")</f>
        <v/>
      </c>
      <c r="AS364" s="337" t="str" cm="1">
        <f t="array" ref="AS364">IF($C364&lt;&gt;"bitte wählen",INDEX(ListeLebensmittelIFEU,AS$189+1,$P364),"")</f>
        <v/>
      </c>
      <c r="AT364" s="337" t="str" cm="1">
        <f t="array" ref="AT364">IF($C364&lt;&gt;"bitte wählen",INDEX(ListeLebensmittelIFEU,AT$189+1,$P364),"")</f>
        <v/>
      </c>
      <c r="AU364" s="337" t="str" cm="1">
        <f t="array" ref="AU364">IF($C364&lt;&gt;"bitte wählen",INDEX(ListeLebensmittelIFEU,AU$189+1,$P364),"")</f>
        <v/>
      </c>
      <c r="AV364" s="337" t="str" cm="1">
        <f t="array" ref="AV364">IF($C364&lt;&gt;"bitte wählen",INDEX(ListeLebensmittelIFEU,AV$189+1,$P364),"")</f>
        <v/>
      </c>
      <c r="AW364" s="337" t="str" cm="1">
        <f t="array" ref="AW364">IF($C364&lt;&gt;"bitte wählen",INDEX(ListeLebensmittelIFEU,AW$189+1,$P364),"")</f>
        <v/>
      </c>
      <c r="AX364" s="337" t="str" cm="1">
        <f t="array" ref="AX364">IF($C364&lt;&gt;"bitte wählen",INDEX(ListeLebensmittelIFEU,AX$189+1,$P364),"")</f>
        <v/>
      </c>
      <c r="AY364" s="337" t="str" cm="1">
        <f t="array" ref="AY364">IF($C364&lt;&gt;"bitte wählen",INDEX(ListeLebensmittelIFEU,AY$189+1,$P364),"")</f>
        <v/>
      </c>
      <c r="AZ364" s="338" t="str" cm="1">
        <f t="array" ref="AZ364">IF($C364&lt;&gt;"bitte wählen",INDEX(ListeLebensmittelIFEU,AZ$189+1,$P364),"")</f>
        <v/>
      </c>
    </row>
    <row r="365" spans="1:52" x14ac:dyDescent="0.3">
      <c r="B365" s="105" t="str">
        <f>IF(R365,IF(E365/IF(D357="",1,D357)&lt;GewichtMittagessenMin,"Hinweis: Dies scheint eine relativ kleine Portion zu sein",IF(E365/IF(D357="",1,D357)&gt;GewichtMittagessenMax,"Hinweis: Dies scheint eine relativ große Portion zu sein","")),"")</f>
        <v/>
      </c>
      <c r="C365" s="78"/>
      <c r="D365" s="78"/>
      <c r="E365" s="355">
        <f>SUM(E359:E364)-SUMIF(C359:C364,"Getränke",E359:E364)</f>
        <v>0</v>
      </c>
      <c r="G365" s="15" t="s">
        <v>622</v>
      </c>
      <c r="H365" s="293">
        <f>SUM(H359:H364)</f>
        <v>0</v>
      </c>
      <c r="Q365" s="383" t="s">
        <v>1030</v>
      </c>
      <c r="R365" s="386" t="b">
        <f>IF(SUM(R359:R364)&gt;0,TRUE,FALSE)</f>
        <v>0</v>
      </c>
      <c r="S365" s="383">
        <f>SUM(S359:S364)</f>
        <v>0</v>
      </c>
      <c r="T365" s="383" t="s">
        <v>1029</v>
      </c>
      <c r="U365" s="383" t="str">
        <f>IF(R365,IF(S365&gt;9,10,IF(S365&gt;0,1,0)),"")</f>
        <v/>
      </c>
    </row>
    <row r="366" spans="1:52" x14ac:dyDescent="0.3">
      <c r="B366" s="385" t="str">
        <f>IF(U365=0,"🌱 vegan","")</f>
        <v/>
      </c>
      <c r="C366" s="105" t="str">
        <f>IF(U365=1,"Ⓥ vegetarisch","")</f>
        <v/>
      </c>
      <c r="D366" s="384" t="str">
        <f>IF(U365=10,"🥩 mit Fleisch/Fisch","")</f>
        <v/>
      </c>
      <c r="E366" s="78"/>
      <c r="G366" s="15" t="s">
        <v>623</v>
      </c>
      <c r="H366" s="294">
        <f>IF(D357="",H365,H365/D357)</f>
        <v>0</v>
      </c>
    </row>
    <row r="367" spans="1:52" x14ac:dyDescent="0.3">
      <c r="C367" s="78"/>
      <c r="D367" s="78"/>
      <c r="E367" s="78"/>
      <c r="G367" s="15"/>
      <c r="H367" s="15"/>
    </row>
    <row r="368" spans="1:52" ht="18" thickBot="1" x14ac:dyDescent="0.4">
      <c r="B368" s="496" t="str">
        <f>"CO₂-Bilanz Gericht 15: "&amp;D369</f>
        <v>CO₂-Bilanz Gericht 15: Menü 15</v>
      </c>
      <c r="C368" s="496"/>
      <c r="D368" s="496"/>
      <c r="E368" s="496"/>
      <c r="T368" s="84"/>
    </row>
    <row r="369" spans="1:52" ht="15" thickTop="1" x14ac:dyDescent="0.3">
      <c r="B369" t="s">
        <v>994</v>
      </c>
      <c r="D369" s="288" t="s">
        <v>1018</v>
      </c>
      <c r="F369" s="78"/>
      <c r="G369" s="78"/>
      <c r="H369" s="78"/>
      <c r="I369" s="78"/>
    </row>
    <row r="370" spans="1:52" x14ac:dyDescent="0.3">
      <c r="B370" t="s">
        <v>995</v>
      </c>
      <c r="C370" s="78"/>
      <c r="D370" s="291">
        <v>1</v>
      </c>
      <c r="E370" s="301" t="str">
        <f>IF(ISNUMBER(FIND("g",_xlfn.CONCAT(E372:E377))),"Bitte Menge als reine Zahl ohne Zusatz g eingeben","")</f>
        <v/>
      </c>
      <c r="G370" s="78"/>
      <c r="H370" s="78"/>
      <c r="T370" s="329" t="s">
        <v>918</v>
      </c>
      <c r="U370" s="330"/>
      <c r="V370" s="330"/>
      <c r="W370" s="330"/>
      <c r="X370" s="330"/>
      <c r="Y370" s="330"/>
    </row>
    <row r="371" spans="1:52" ht="44.4" x14ac:dyDescent="0.35">
      <c r="A371" s="376" t="s">
        <v>1217</v>
      </c>
      <c r="C371" s="297" t="s">
        <v>993</v>
      </c>
      <c r="D371" s="313" t="s">
        <v>992</v>
      </c>
      <c r="E371" s="298" t="s">
        <v>323</v>
      </c>
      <c r="F371" s="298" t="s">
        <v>324</v>
      </c>
      <c r="G371" s="296" t="s">
        <v>534</v>
      </c>
      <c r="H371" s="296" t="s">
        <v>535</v>
      </c>
      <c r="P371" s="356" t="s">
        <v>956</v>
      </c>
      <c r="Q371" s="356" t="s">
        <v>957</v>
      </c>
      <c r="R371" s="357" t="s">
        <v>958</v>
      </c>
      <c r="S371" s="357" t="s">
        <v>1028</v>
      </c>
      <c r="T371" s="361">
        <v>1</v>
      </c>
      <c r="U371" s="362">
        <v>2</v>
      </c>
      <c r="V371" s="362">
        <v>3</v>
      </c>
      <c r="W371" s="362">
        <v>4</v>
      </c>
      <c r="X371" s="362">
        <v>5</v>
      </c>
      <c r="Y371" s="362">
        <v>6</v>
      </c>
      <c r="Z371" s="362">
        <v>7</v>
      </c>
      <c r="AA371" s="362">
        <v>8</v>
      </c>
      <c r="AB371" s="362">
        <v>9</v>
      </c>
      <c r="AC371" s="362">
        <v>10</v>
      </c>
      <c r="AD371" s="362">
        <v>11</v>
      </c>
      <c r="AE371" s="362">
        <v>12</v>
      </c>
      <c r="AF371" s="362">
        <v>13</v>
      </c>
      <c r="AG371" s="362">
        <v>14</v>
      </c>
      <c r="AH371" s="362">
        <v>15</v>
      </c>
      <c r="AI371" s="362">
        <v>16</v>
      </c>
      <c r="AJ371" s="362">
        <v>17</v>
      </c>
      <c r="AK371" s="362">
        <v>18</v>
      </c>
      <c r="AL371" s="362">
        <v>19</v>
      </c>
      <c r="AM371" s="362">
        <v>20</v>
      </c>
      <c r="AN371" s="362">
        <v>21</v>
      </c>
      <c r="AO371" s="362">
        <v>22</v>
      </c>
      <c r="AP371" s="362">
        <v>23</v>
      </c>
      <c r="AQ371" s="362">
        <v>24</v>
      </c>
      <c r="AR371" s="362">
        <v>25</v>
      </c>
      <c r="AS371" s="362">
        <v>26</v>
      </c>
      <c r="AT371" s="362">
        <v>27</v>
      </c>
      <c r="AU371" s="362">
        <v>28</v>
      </c>
      <c r="AV371" s="362">
        <v>29</v>
      </c>
      <c r="AW371" s="362">
        <v>30</v>
      </c>
      <c r="AX371" s="362">
        <v>31</v>
      </c>
      <c r="AY371" s="362">
        <v>32</v>
      </c>
      <c r="AZ371" s="363">
        <v>33</v>
      </c>
    </row>
    <row r="372" spans="1:52" x14ac:dyDescent="0.3">
      <c r="B372" t="s">
        <v>13</v>
      </c>
      <c r="C372" s="471" t="s">
        <v>27</v>
      </c>
      <c r="D372" s="472"/>
      <c r="E372" s="470"/>
      <c r="F372" s="473" t="s">
        <v>12</v>
      </c>
      <c r="G372" s="350" t="str">
        <f t="shared" ref="G372:G377" si="92">IF(D372="","",R372*IF(F372="Ja",FaktorBeiLokalemProdukt,1))</f>
        <v/>
      </c>
      <c r="H372" s="293" t="str">
        <f t="shared" ref="H372:H377" si="93">IF(D372="","",E372*G372)</f>
        <v/>
      </c>
      <c r="P372" s="331">
        <f t="shared" ref="P372:P377" si="94">VLOOKUP(C372,$C$457:$D$464,2,FALSE)</f>
        <v>22</v>
      </c>
      <c r="Q372" s="332" t="e">
        <f>MATCH(D372,T372:AZ372,0)</f>
        <v>#N/A</v>
      </c>
      <c r="R372" s="358">
        <f t="shared" ref="R372:R377" si="95">_xlfn.IFNA(IF(D372&lt;&gt;"",VLOOKUP(D372,$C$544:$E$774,2,FALSE),0),0)</f>
        <v>0</v>
      </c>
      <c r="S372" s="358">
        <f t="shared" ref="S372:S377" si="96">_xlfn.IFNA(IF(D372&lt;&gt;"",VLOOKUP(D372,$C$544:$E$774,3,FALSE),0),0)</f>
        <v>0</v>
      </c>
      <c r="T372" s="333" t="str" cm="1">
        <f t="array" ref="T372">IF($C372&lt;&gt;"bitte wählen",INDEX(ListeLebensmittelIFEU,T$189+1,$P372),"")</f>
        <v/>
      </c>
      <c r="U372" s="334" t="str" cm="1">
        <f t="array" ref="U372">IF($C372&lt;&gt;"bitte wählen",INDEX(ListeLebensmittelIFEU,U$189+1,$P372),"")</f>
        <v/>
      </c>
      <c r="V372" s="334" t="str" cm="1">
        <f t="array" ref="V372">IF($C372&lt;&gt;"bitte wählen",INDEX(ListeLebensmittelIFEU,V$189+1,$P372),"")</f>
        <v/>
      </c>
      <c r="W372" s="334" t="str" cm="1">
        <f t="array" ref="W372">IF($C372&lt;&gt;"bitte wählen",INDEX(ListeLebensmittelIFEU,W$189+1,$P372),"")</f>
        <v/>
      </c>
      <c r="X372" s="334" t="str" cm="1">
        <f t="array" ref="X372">IF($C372&lt;&gt;"bitte wählen",INDEX(ListeLebensmittelIFEU,X$189+1,$P372),"")</f>
        <v/>
      </c>
      <c r="Y372" s="334" t="str" cm="1">
        <f t="array" ref="Y372">IF($C372&lt;&gt;"bitte wählen",INDEX(ListeLebensmittelIFEU,Y$189+1,$P372),"")</f>
        <v/>
      </c>
      <c r="Z372" s="334" t="str" cm="1">
        <f t="array" ref="Z372">IF($C372&lt;&gt;"bitte wählen",INDEX(ListeLebensmittelIFEU,Z$189+1,$P372),"")</f>
        <v/>
      </c>
      <c r="AA372" s="334" t="str" cm="1">
        <f t="array" ref="AA372">IF($C372&lt;&gt;"bitte wählen",INDEX(ListeLebensmittelIFEU,AA$189+1,$P372),"")</f>
        <v/>
      </c>
      <c r="AB372" s="334" t="str" cm="1">
        <f t="array" ref="AB372">IF($C372&lt;&gt;"bitte wählen",INDEX(ListeLebensmittelIFEU,AB$189+1,$P372),"")</f>
        <v/>
      </c>
      <c r="AC372" s="334" t="str" cm="1">
        <f t="array" ref="AC372">IF($C372&lt;&gt;"bitte wählen",INDEX(ListeLebensmittelIFEU,AC$189+1,$P372),"")</f>
        <v/>
      </c>
      <c r="AD372" s="334" t="str" cm="1">
        <f t="array" ref="AD372">IF($C372&lt;&gt;"bitte wählen",INDEX(ListeLebensmittelIFEU,AD$189+1,$P372),"")</f>
        <v/>
      </c>
      <c r="AE372" s="334" t="str" cm="1">
        <f t="array" ref="AE372">IF($C372&lt;&gt;"bitte wählen",INDEX(ListeLebensmittelIFEU,AE$189+1,$P372),"")</f>
        <v/>
      </c>
      <c r="AF372" s="334" t="str" cm="1">
        <f t="array" ref="AF372">IF($C372&lt;&gt;"bitte wählen",INDEX(ListeLebensmittelIFEU,AF$189+1,$P372),"")</f>
        <v/>
      </c>
      <c r="AG372" s="334" t="str" cm="1">
        <f t="array" ref="AG372">IF($C372&lt;&gt;"bitte wählen",INDEX(ListeLebensmittelIFEU,AG$189+1,$P372),"")</f>
        <v/>
      </c>
      <c r="AH372" s="334" t="str" cm="1">
        <f t="array" ref="AH372">IF($C372&lt;&gt;"bitte wählen",INDEX(ListeLebensmittelIFEU,AH$189+1,$P372),"")</f>
        <v/>
      </c>
      <c r="AI372" s="334" t="str" cm="1">
        <f t="array" ref="AI372">IF($C372&lt;&gt;"bitte wählen",INDEX(ListeLebensmittelIFEU,AI$189+1,$P372),"")</f>
        <v/>
      </c>
      <c r="AJ372" s="334" t="str" cm="1">
        <f t="array" ref="AJ372">IF($C372&lt;&gt;"bitte wählen",INDEX(ListeLebensmittelIFEU,AJ$189+1,$P372),"")</f>
        <v/>
      </c>
      <c r="AK372" s="334" t="str" cm="1">
        <f t="array" ref="AK372">IF($C372&lt;&gt;"bitte wählen",INDEX(ListeLebensmittelIFEU,AK$189+1,$P372),"")</f>
        <v/>
      </c>
      <c r="AL372" s="334" t="str" cm="1">
        <f t="array" ref="AL372">IF($C372&lt;&gt;"bitte wählen",INDEX(ListeLebensmittelIFEU,AL$189+1,$P372),"")</f>
        <v/>
      </c>
      <c r="AM372" s="334" t="str" cm="1">
        <f t="array" ref="AM372">IF($C372&lt;&gt;"bitte wählen",INDEX(ListeLebensmittelIFEU,AM$189+1,$P372),"")</f>
        <v/>
      </c>
      <c r="AN372" s="334" t="str" cm="1">
        <f t="array" ref="AN372">IF($C372&lt;&gt;"bitte wählen",INDEX(ListeLebensmittelIFEU,AN$189+1,$P372),"")</f>
        <v/>
      </c>
      <c r="AO372" s="334" t="str" cm="1">
        <f t="array" ref="AO372">IF($C372&lt;&gt;"bitte wählen",INDEX(ListeLebensmittelIFEU,AO$189+1,$P372),"")</f>
        <v/>
      </c>
      <c r="AP372" s="334" t="str" cm="1">
        <f t="array" ref="AP372">IF($C372&lt;&gt;"bitte wählen",INDEX(ListeLebensmittelIFEU,AP$189+1,$P372),"")</f>
        <v/>
      </c>
      <c r="AQ372" s="334" t="str" cm="1">
        <f t="array" ref="AQ372">IF($C372&lt;&gt;"bitte wählen",INDEX(ListeLebensmittelIFEU,AQ$189+1,$P372),"")</f>
        <v/>
      </c>
      <c r="AR372" s="334" t="str" cm="1">
        <f t="array" ref="AR372">IF($C372&lt;&gt;"bitte wählen",INDEX(ListeLebensmittelIFEU,AR$189+1,$P372),"")</f>
        <v/>
      </c>
      <c r="AS372" s="334" t="str" cm="1">
        <f t="array" ref="AS372">IF($C372&lt;&gt;"bitte wählen",INDEX(ListeLebensmittelIFEU,AS$189+1,$P372),"")</f>
        <v/>
      </c>
      <c r="AT372" s="334" t="str" cm="1">
        <f t="array" ref="AT372">IF($C372&lt;&gt;"bitte wählen",INDEX(ListeLebensmittelIFEU,AT$189+1,$P372),"")</f>
        <v/>
      </c>
      <c r="AU372" s="334" t="str" cm="1">
        <f t="array" ref="AU372">IF($C372&lt;&gt;"bitte wählen",INDEX(ListeLebensmittelIFEU,AU$189+1,$P372),"")</f>
        <v/>
      </c>
      <c r="AV372" s="334" t="str" cm="1">
        <f t="array" ref="AV372">IF($C372&lt;&gt;"bitte wählen",INDEX(ListeLebensmittelIFEU,AV$189+1,$P372),"")</f>
        <v/>
      </c>
      <c r="AW372" s="334" t="str" cm="1">
        <f t="array" ref="AW372">IF($C372&lt;&gt;"bitte wählen",INDEX(ListeLebensmittelIFEU,AW$189+1,$P372),"")</f>
        <v/>
      </c>
      <c r="AX372" s="334" t="str" cm="1">
        <f t="array" ref="AX372">IF($C372&lt;&gt;"bitte wählen",INDEX(ListeLebensmittelIFEU,AX$189+1,$P372),"")</f>
        <v/>
      </c>
      <c r="AY372" s="334" t="str" cm="1">
        <f t="array" ref="AY372">IF($C372&lt;&gt;"bitte wählen",INDEX(ListeLebensmittelIFEU,AY$189+1,$P372),"")</f>
        <v/>
      </c>
      <c r="AZ372" s="335" t="str" cm="1">
        <f t="array" ref="AZ372">IF($C372&lt;&gt;"bitte wählen",INDEX(ListeLebensmittelIFEU,AZ$189+1,$P372),"")</f>
        <v/>
      </c>
    </row>
    <row r="373" spans="1:52" x14ac:dyDescent="0.3">
      <c r="B373" t="s">
        <v>327</v>
      </c>
      <c r="C373" s="471" t="s">
        <v>27</v>
      </c>
      <c r="D373" s="472"/>
      <c r="E373" s="349"/>
      <c r="F373" s="473" t="s">
        <v>12</v>
      </c>
      <c r="G373" s="350" t="str">
        <f t="shared" si="92"/>
        <v/>
      </c>
      <c r="H373" s="293" t="str">
        <f t="shared" si="93"/>
        <v/>
      </c>
      <c r="P373" s="333">
        <f t="shared" si="94"/>
        <v>22</v>
      </c>
      <c r="Q373" s="334" t="e">
        <f t="shared" ref="Q373:Q377" si="97">MATCH(D373,T373:AZ373,0)</f>
        <v>#N/A</v>
      </c>
      <c r="R373" s="359">
        <f t="shared" si="95"/>
        <v>0</v>
      </c>
      <c r="S373" s="380">
        <f t="shared" si="96"/>
        <v>0</v>
      </c>
      <c r="T373" s="333" t="str" cm="1">
        <f t="array" ref="T373">IF($C373&lt;&gt;"bitte wählen",INDEX(ListeLebensmittelIFEU,T$189+1,$P373),"")</f>
        <v/>
      </c>
      <c r="U373" s="334" t="str" cm="1">
        <f t="array" ref="U373">IF($C373&lt;&gt;"bitte wählen",INDEX(ListeLebensmittelIFEU,U$189+1,$P373),"")</f>
        <v/>
      </c>
      <c r="V373" s="334" t="str" cm="1">
        <f t="array" ref="V373">IF($C373&lt;&gt;"bitte wählen",INDEX(ListeLebensmittelIFEU,V$189+1,$P373),"")</f>
        <v/>
      </c>
      <c r="W373" s="334" t="str" cm="1">
        <f t="array" ref="W373">IF($C373&lt;&gt;"bitte wählen",INDEX(ListeLebensmittelIFEU,W$189+1,$P373),"")</f>
        <v/>
      </c>
      <c r="X373" s="334" t="str" cm="1">
        <f t="array" ref="X373">IF($C373&lt;&gt;"bitte wählen",INDEX(ListeLebensmittelIFEU,X$189+1,$P373),"")</f>
        <v/>
      </c>
      <c r="Y373" s="334" t="str" cm="1">
        <f t="array" ref="Y373">IF($C373&lt;&gt;"bitte wählen",INDEX(ListeLebensmittelIFEU,Y$189+1,$P373),"")</f>
        <v/>
      </c>
      <c r="Z373" s="334" t="str" cm="1">
        <f t="array" ref="Z373">IF($C373&lt;&gt;"bitte wählen",INDEX(ListeLebensmittelIFEU,Z$189+1,$P373),"")</f>
        <v/>
      </c>
      <c r="AA373" s="334" t="str" cm="1">
        <f t="array" ref="AA373">IF($C373&lt;&gt;"bitte wählen",INDEX(ListeLebensmittelIFEU,AA$189+1,$P373),"")</f>
        <v/>
      </c>
      <c r="AB373" s="334" t="str" cm="1">
        <f t="array" ref="AB373">IF($C373&lt;&gt;"bitte wählen",INDEX(ListeLebensmittelIFEU,AB$189+1,$P373),"")</f>
        <v/>
      </c>
      <c r="AC373" s="334" t="str" cm="1">
        <f t="array" ref="AC373">IF($C373&lt;&gt;"bitte wählen",INDEX(ListeLebensmittelIFEU,AC$189+1,$P373),"")</f>
        <v/>
      </c>
      <c r="AD373" s="334" t="str" cm="1">
        <f t="array" ref="AD373">IF($C373&lt;&gt;"bitte wählen",INDEX(ListeLebensmittelIFEU,AD$189+1,$P373),"")</f>
        <v/>
      </c>
      <c r="AE373" s="334" t="str" cm="1">
        <f t="array" ref="AE373">IF($C373&lt;&gt;"bitte wählen",INDEX(ListeLebensmittelIFEU,AE$189+1,$P373),"")</f>
        <v/>
      </c>
      <c r="AF373" s="334" t="str" cm="1">
        <f t="array" ref="AF373">IF($C373&lt;&gt;"bitte wählen",INDEX(ListeLebensmittelIFEU,AF$189+1,$P373),"")</f>
        <v/>
      </c>
      <c r="AG373" s="334" t="str" cm="1">
        <f t="array" ref="AG373">IF($C373&lt;&gt;"bitte wählen",INDEX(ListeLebensmittelIFEU,AG$189+1,$P373),"")</f>
        <v/>
      </c>
      <c r="AH373" s="334" t="str" cm="1">
        <f t="array" ref="AH373">IF($C373&lt;&gt;"bitte wählen",INDEX(ListeLebensmittelIFEU,AH$189+1,$P373),"")</f>
        <v/>
      </c>
      <c r="AI373" s="334" t="str" cm="1">
        <f t="array" ref="AI373">IF($C373&lt;&gt;"bitte wählen",INDEX(ListeLebensmittelIFEU,AI$189+1,$P373),"")</f>
        <v/>
      </c>
      <c r="AJ373" s="334" t="str" cm="1">
        <f t="array" ref="AJ373">IF($C373&lt;&gt;"bitte wählen",INDEX(ListeLebensmittelIFEU,AJ$189+1,$P373),"")</f>
        <v/>
      </c>
      <c r="AK373" s="334" t="str" cm="1">
        <f t="array" ref="AK373">IF($C373&lt;&gt;"bitte wählen",INDEX(ListeLebensmittelIFEU,AK$189+1,$P373),"")</f>
        <v/>
      </c>
      <c r="AL373" s="334" t="str" cm="1">
        <f t="array" ref="AL373">IF($C373&lt;&gt;"bitte wählen",INDEX(ListeLebensmittelIFEU,AL$189+1,$P373),"")</f>
        <v/>
      </c>
      <c r="AM373" s="334" t="str" cm="1">
        <f t="array" ref="AM373">IF($C373&lt;&gt;"bitte wählen",INDEX(ListeLebensmittelIFEU,AM$189+1,$P373),"")</f>
        <v/>
      </c>
      <c r="AN373" s="334" t="str" cm="1">
        <f t="array" ref="AN373">IF($C373&lt;&gt;"bitte wählen",INDEX(ListeLebensmittelIFEU,AN$189+1,$P373),"")</f>
        <v/>
      </c>
      <c r="AO373" s="334" t="str" cm="1">
        <f t="array" ref="AO373">IF($C373&lt;&gt;"bitte wählen",INDEX(ListeLebensmittelIFEU,AO$189+1,$P373),"")</f>
        <v/>
      </c>
      <c r="AP373" s="334" t="str" cm="1">
        <f t="array" ref="AP373">IF($C373&lt;&gt;"bitte wählen",INDEX(ListeLebensmittelIFEU,AP$189+1,$P373),"")</f>
        <v/>
      </c>
      <c r="AQ373" s="334" t="str" cm="1">
        <f t="array" ref="AQ373">IF($C373&lt;&gt;"bitte wählen",INDEX(ListeLebensmittelIFEU,AQ$189+1,$P373),"")</f>
        <v/>
      </c>
      <c r="AR373" s="334" t="str" cm="1">
        <f t="array" ref="AR373">IF($C373&lt;&gt;"bitte wählen",INDEX(ListeLebensmittelIFEU,AR$189+1,$P373),"")</f>
        <v/>
      </c>
      <c r="AS373" s="334" t="str" cm="1">
        <f t="array" ref="AS373">IF($C373&lt;&gt;"bitte wählen",INDEX(ListeLebensmittelIFEU,AS$189+1,$P373),"")</f>
        <v/>
      </c>
      <c r="AT373" s="334" t="str" cm="1">
        <f t="array" ref="AT373">IF($C373&lt;&gt;"bitte wählen",INDEX(ListeLebensmittelIFEU,AT$189+1,$P373),"")</f>
        <v/>
      </c>
      <c r="AU373" s="334" t="str" cm="1">
        <f t="array" ref="AU373">IF($C373&lt;&gt;"bitte wählen",INDEX(ListeLebensmittelIFEU,AU$189+1,$P373),"")</f>
        <v/>
      </c>
      <c r="AV373" s="334" t="str" cm="1">
        <f t="array" ref="AV373">IF($C373&lt;&gt;"bitte wählen",INDEX(ListeLebensmittelIFEU,AV$189+1,$P373),"")</f>
        <v/>
      </c>
      <c r="AW373" s="334" t="str" cm="1">
        <f t="array" ref="AW373">IF($C373&lt;&gt;"bitte wählen",INDEX(ListeLebensmittelIFEU,AW$189+1,$P373),"")</f>
        <v/>
      </c>
      <c r="AX373" s="334" t="str" cm="1">
        <f t="array" ref="AX373">IF($C373&lt;&gt;"bitte wählen",INDEX(ListeLebensmittelIFEU,AX$189+1,$P373),"")</f>
        <v/>
      </c>
      <c r="AY373" s="334" t="str" cm="1">
        <f t="array" ref="AY373">IF($C373&lt;&gt;"bitte wählen",INDEX(ListeLebensmittelIFEU,AY$189+1,$P373),"")</f>
        <v/>
      </c>
      <c r="AZ373" s="335" t="str" cm="1">
        <f t="array" ref="AZ373">IF($C373&lt;&gt;"bitte wählen",INDEX(ListeLebensmittelIFEU,AZ$189+1,$P373),"")</f>
        <v/>
      </c>
    </row>
    <row r="374" spans="1:52" x14ac:dyDescent="0.3">
      <c r="B374" t="s">
        <v>328</v>
      </c>
      <c r="C374" s="471" t="s">
        <v>27</v>
      </c>
      <c r="D374" s="472"/>
      <c r="E374" s="349"/>
      <c r="F374" s="473" t="s">
        <v>12</v>
      </c>
      <c r="G374" s="350" t="str">
        <f t="shared" si="92"/>
        <v/>
      </c>
      <c r="H374" s="293" t="str">
        <f t="shared" si="93"/>
        <v/>
      </c>
      <c r="P374" s="333">
        <f t="shared" si="94"/>
        <v>22</v>
      </c>
      <c r="Q374" s="334" t="e">
        <f t="shared" si="97"/>
        <v>#N/A</v>
      </c>
      <c r="R374" s="359">
        <f t="shared" si="95"/>
        <v>0</v>
      </c>
      <c r="S374" s="380">
        <f t="shared" si="96"/>
        <v>0</v>
      </c>
      <c r="T374" s="333" t="str" cm="1">
        <f t="array" ref="T374">IF($C374&lt;&gt;"bitte wählen",INDEX(ListeLebensmittelIFEU,T$189+1,$P374),"")</f>
        <v/>
      </c>
      <c r="U374" s="334" t="str" cm="1">
        <f t="array" ref="U374">IF($C374&lt;&gt;"bitte wählen",INDEX(ListeLebensmittelIFEU,U$189+1,$P374),"")</f>
        <v/>
      </c>
      <c r="V374" s="334" t="str" cm="1">
        <f t="array" ref="V374">IF($C374&lt;&gt;"bitte wählen",INDEX(ListeLebensmittelIFEU,V$189+1,$P374),"")</f>
        <v/>
      </c>
      <c r="W374" s="334" t="str" cm="1">
        <f t="array" ref="W374">IF($C374&lt;&gt;"bitte wählen",INDEX(ListeLebensmittelIFEU,W$189+1,$P374),"")</f>
        <v/>
      </c>
      <c r="X374" s="334" t="str" cm="1">
        <f t="array" ref="X374">IF($C374&lt;&gt;"bitte wählen",INDEX(ListeLebensmittelIFEU,X$189+1,$P374),"")</f>
        <v/>
      </c>
      <c r="Y374" s="334" t="str" cm="1">
        <f t="array" ref="Y374">IF($C374&lt;&gt;"bitte wählen",INDEX(ListeLebensmittelIFEU,Y$189+1,$P374),"")</f>
        <v/>
      </c>
      <c r="Z374" s="334" t="str" cm="1">
        <f t="array" ref="Z374">IF($C374&lt;&gt;"bitte wählen",INDEX(ListeLebensmittelIFEU,Z$189+1,$P374),"")</f>
        <v/>
      </c>
      <c r="AA374" s="334" t="str" cm="1">
        <f t="array" ref="AA374">IF($C374&lt;&gt;"bitte wählen",INDEX(ListeLebensmittelIFEU,AA$189+1,$P374),"")</f>
        <v/>
      </c>
      <c r="AB374" s="334" t="str" cm="1">
        <f t="array" ref="AB374">IF($C374&lt;&gt;"bitte wählen",INDEX(ListeLebensmittelIFEU,AB$189+1,$P374),"")</f>
        <v/>
      </c>
      <c r="AC374" s="334" t="str" cm="1">
        <f t="array" ref="AC374">IF($C374&lt;&gt;"bitte wählen",INDEX(ListeLebensmittelIFEU,AC$189+1,$P374),"")</f>
        <v/>
      </c>
      <c r="AD374" s="334" t="str" cm="1">
        <f t="array" ref="AD374">IF($C374&lt;&gt;"bitte wählen",INDEX(ListeLebensmittelIFEU,AD$189+1,$P374),"")</f>
        <v/>
      </c>
      <c r="AE374" s="334" t="str" cm="1">
        <f t="array" ref="AE374">IF($C374&lt;&gt;"bitte wählen",INDEX(ListeLebensmittelIFEU,AE$189+1,$P374),"")</f>
        <v/>
      </c>
      <c r="AF374" s="334" t="str" cm="1">
        <f t="array" ref="AF374">IF($C374&lt;&gt;"bitte wählen",INDEX(ListeLebensmittelIFEU,AF$189+1,$P374),"")</f>
        <v/>
      </c>
      <c r="AG374" s="334" t="str" cm="1">
        <f t="array" ref="AG374">IF($C374&lt;&gt;"bitte wählen",INDEX(ListeLebensmittelIFEU,AG$189+1,$P374),"")</f>
        <v/>
      </c>
      <c r="AH374" s="334" t="str" cm="1">
        <f t="array" ref="AH374">IF($C374&lt;&gt;"bitte wählen",INDEX(ListeLebensmittelIFEU,AH$189+1,$P374),"")</f>
        <v/>
      </c>
      <c r="AI374" s="334" t="str" cm="1">
        <f t="array" ref="AI374">IF($C374&lt;&gt;"bitte wählen",INDEX(ListeLebensmittelIFEU,AI$189+1,$P374),"")</f>
        <v/>
      </c>
      <c r="AJ374" s="334" t="str" cm="1">
        <f t="array" ref="AJ374">IF($C374&lt;&gt;"bitte wählen",INDEX(ListeLebensmittelIFEU,AJ$189+1,$P374),"")</f>
        <v/>
      </c>
      <c r="AK374" s="334" t="str" cm="1">
        <f t="array" ref="AK374">IF($C374&lt;&gt;"bitte wählen",INDEX(ListeLebensmittelIFEU,AK$189+1,$P374),"")</f>
        <v/>
      </c>
      <c r="AL374" s="334" t="str" cm="1">
        <f t="array" ref="AL374">IF($C374&lt;&gt;"bitte wählen",INDEX(ListeLebensmittelIFEU,AL$189+1,$P374),"")</f>
        <v/>
      </c>
      <c r="AM374" s="334" t="str" cm="1">
        <f t="array" ref="AM374">IF($C374&lt;&gt;"bitte wählen",INDEX(ListeLebensmittelIFEU,AM$189+1,$P374),"")</f>
        <v/>
      </c>
      <c r="AN374" s="334" t="str" cm="1">
        <f t="array" ref="AN374">IF($C374&lt;&gt;"bitte wählen",INDEX(ListeLebensmittelIFEU,AN$189+1,$P374),"")</f>
        <v/>
      </c>
      <c r="AO374" s="334" t="str" cm="1">
        <f t="array" ref="AO374">IF($C374&lt;&gt;"bitte wählen",INDEX(ListeLebensmittelIFEU,AO$189+1,$P374),"")</f>
        <v/>
      </c>
      <c r="AP374" s="334" t="str" cm="1">
        <f t="array" ref="AP374">IF($C374&lt;&gt;"bitte wählen",INDEX(ListeLebensmittelIFEU,AP$189+1,$P374),"")</f>
        <v/>
      </c>
      <c r="AQ374" s="334" t="str" cm="1">
        <f t="array" ref="AQ374">IF($C374&lt;&gt;"bitte wählen",INDEX(ListeLebensmittelIFEU,AQ$189+1,$P374),"")</f>
        <v/>
      </c>
      <c r="AR374" s="334" t="str" cm="1">
        <f t="array" ref="AR374">IF($C374&lt;&gt;"bitte wählen",INDEX(ListeLebensmittelIFEU,AR$189+1,$P374),"")</f>
        <v/>
      </c>
      <c r="AS374" s="334" t="str" cm="1">
        <f t="array" ref="AS374">IF($C374&lt;&gt;"bitte wählen",INDEX(ListeLebensmittelIFEU,AS$189+1,$P374),"")</f>
        <v/>
      </c>
      <c r="AT374" s="334" t="str" cm="1">
        <f t="array" ref="AT374">IF($C374&lt;&gt;"bitte wählen",INDEX(ListeLebensmittelIFEU,AT$189+1,$P374),"")</f>
        <v/>
      </c>
      <c r="AU374" s="334" t="str" cm="1">
        <f t="array" ref="AU374">IF($C374&lt;&gt;"bitte wählen",INDEX(ListeLebensmittelIFEU,AU$189+1,$P374),"")</f>
        <v/>
      </c>
      <c r="AV374" s="334" t="str" cm="1">
        <f t="array" ref="AV374">IF($C374&lt;&gt;"bitte wählen",INDEX(ListeLebensmittelIFEU,AV$189+1,$P374),"")</f>
        <v/>
      </c>
      <c r="AW374" s="334" t="str" cm="1">
        <f t="array" ref="AW374">IF($C374&lt;&gt;"bitte wählen",INDEX(ListeLebensmittelIFEU,AW$189+1,$P374),"")</f>
        <v/>
      </c>
      <c r="AX374" s="334" t="str" cm="1">
        <f t="array" ref="AX374">IF($C374&lt;&gt;"bitte wählen",INDEX(ListeLebensmittelIFEU,AX$189+1,$P374),"")</f>
        <v/>
      </c>
      <c r="AY374" s="334" t="str" cm="1">
        <f t="array" ref="AY374">IF($C374&lt;&gt;"bitte wählen",INDEX(ListeLebensmittelIFEU,AY$189+1,$P374),"")</f>
        <v/>
      </c>
      <c r="AZ374" s="335" t="str" cm="1">
        <f t="array" ref="AZ374">IF($C374&lt;&gt;"bitte wählen",INDEX(ListeLebensmittelIFEU,AZ$189+1,$P374),"")</f>
        <v/>
      </c>
    </row>
    <row r="375" spans="1:52" x14ac:dyDescent="0.3">
      <c r="B375" t="s">
        <v>329</v>
      </c>
      <c r="C375" s="471" t="s">
        <v>27</v>
      </c>
      <c r="D375" s="472"/>
      <c r="E375" s="349"/>
      <c r="F375" s="473" t="s">
        <v>12</v>
      </c>
      <c r="G375" s="350" t="str">
        <f t="shared" si="92"/>
        <v/>
      </c>
      <c r="H375" s="293" t="str">
        <f t="shared" si="93"/>
        <v/>
      </c>
      <c r="P375" s="333">
        <f t="shared" si="94"/>
        <v>22</v>
      </c>
      <c r="Q375" s="334" t="e">
        <f t="shared" si="97"/>
        <v>#N/A</v>
      </c>
      <c r="R375" s="359">
        <f t="shared" si="95"/>
        <v>0</v>
      </c>
      <c r="S375" s="380">
        <f t="shared" si="96"/>
        <v>0</v>
      </c>
      <c r="T375" s="333" t="str" cm="1">
        <f t="array" ref="T375">IF($C375&lt;&gt;"bitte wählen",INDEX(ListeLebensmittelIFEU,T$189+1,$P375),"")</f>
        <v/>
      </c>
      <c r="U375" s="334" t="str" cm="1">
        <f t="array" ref="U375">IF($C375&lt;&gt;"bitte wählen",INDEX(ListeLebensmittelIFEU,U$189+1,$P375),"")</f>
        <v/>
      </c>
      <c r="V375" s="334" t="str" cm="1">
        <f t="array" ref="V375">IF($C375&lt;&gt;"bitte wählen",INDEX(ListeLebensmittelIFEU,V$189+1,$P375),"")</f>
        <v/>
      </c>
      <c r="W375" s="334" t="str" cm="1">
        <f t="array" ref="W375">IF($C375&lt;&gt;"bitte wählen",INDEX(ListeLebensmittelIFEU,W$189+1,$P375),"")</f>
        <v/>
      </c>
      <c r="X375" s="334" t="str" cm="1">
        <f t="array" ref="X375">IF($C375&lt;&gt;"bitte wählen",INDEX(ListeLebensmittelIFEU,X$189+1,$P375),"")</f>
        <v/>
      </c>
      <c r="Y375" s="334" t="str" cm="1">
        <f t="array" ref="Y375">IF($C375&lt;&gt;"bitte wählen",INDEX(ListeLebensmittelIFEU,Y$189+1,$P375),"")</f>
        <v/>
      </c>
      <c r="Z375" s="334" t="str" cm="1">
        <f t="array" ref="Z375">IF($C375&lt;&gt;"bitte wählen",INDEX(ListeLebensmittelIFEU,Z$189+1,$P375),"")</f>
        <v/>
      </c>
      <c r="AA375" s="334" t="str" cm="1">
        <f t="array" ref="AA375">IF($C375&lt;&gt;"bitte wählen",INDEX(ListeLebensmittelIFEU,AA$189+1,$P375),"")</f>
        <v/>
      </c>
      <c r="AB375" s="334" t="str" cm="1">
        <f t="array" ref="AB375">IF($C375&lt;&gt;"bitte wählen",INDEX(ListeLebensmittelIFEU,AB$189+1,$P375),"")</f>
        <v/>
      </c>
      <c r="AC375" s="334" t="str" cm="1">
        <f t="array" ref="AC375">IF($C375&lt;&gt;"bitte wählen",INDEX(ListeLebensmittelIFEU,AC$189+1,$P375),"")</f>
        <v/>
      </c>
      <c r="AD375" s="334" t="str" cm="1">
        <f t="array" ref="AD375">IF($C375&lt;&gt;"bitte wählen",INDEX(ListeLebensmittelIFEU,AD$189+1,$P375),"")</f>
        <v/>
      </c>
      <c r="AE375" s="334" t="str" cm="1">
        <f t="array" ref="AE375">IF($C375&lt;&gt;"bitte wählen",INDEX(ListeLebensmittelIFEU,AE$189+1,$P375),"")</f>
        <v/>
      </c>
      <c r="AF375" s="334" t="str" cm="1">
        <f t="array" ref="AF375">IF($C375&lt;&gt;"bitte wählen",INDEX(ListeLebensmittelIFEU,AF$189+1,$P375),"")</f>
        <v/>
      </c>
      <c r="AG375" s="334" t="str" cm="1">
        <f t="array" ref="AG375">IF($C375&lt;&gt;"bitte wählen",INDEX(ListeLebensmittelIFEU,AG$189+1,$P375),"")</f>
        <v/>
      </c>
      <c r="AH375" s="334" t="str" cm="1">
        <f t="array" ref="AH375">IF($C375&lt;&gt;"bitte wählen",INDEX(ListeLebensmittelIFEU,AH$189+1,$P375),"")</f>
        <v/>
      </c>
      <c r="AI375" s="334" t="str" cm="1">
        <f t="array" ref="AI375">IF($C375&lt;&gt;"bitte wählen",INDEX(ListeLebensmittelIFEU,AI$189+1,$P375),"")</f>
        <v/>
      </c>
      <c r="AJ375" s="334" t="str" cm="1">
        <f t="array" ref="AJ375">IF($C375&lt;&gt;"bitte wählen",INDEX(ListeLebensmittelIFEU,AJ$189+1,$P375),"")</f>
        <v/>
      </c>
      <c r="AK375" s="334" t="str" cm="1">
        <f t="array" ref="AK375">IF($C375&lt;&gt;"bitte wählen",INDEX(ListeLebensmittelIFEU,AK$189+1,$P375),"")</f>
        <v/>
      </c>
      <c r="AL375" s="334" t="str" cm="1">
        <f t="array" ref="AL375">IF($C375&lt;&gt;"bitte wählen",INDEX(ListeLebensmittelIFEU,AL$189+1,$P375),"")</f>
        <v/>
      </c>
      <c r="AM375" s="334" t="str" cm="1">
        <f t="array" ref="AM375">IF($C375&lt;&gt;"bitte wählen",INDEX(ListeLebensmittelIFEU,AM$189+1,$P375),"")</f>
        <v/>
      </c>
      <c r="AN375" s="334" t="str" cm="1">
        <f t="array" ref="AN375">IF($C375&lt;&gt;"bitte wählen",INDEX(ListeLebensmittelIFEU,AN$189+1,$P375),"")</f>
        <v/>
      </c>
      <c r="AO375" s="334" t="str" cm="1">
        <f t="array" ref="AO375">IF($C375&lt;&gt;"bitte wählen",INDEX(ListeLebensmittelIFEU,AO$189+1,$P375),"")</f>
        <v/>
      </c>
      <c r="AP375" s="334" t="str" cm="1">
        <f t="array" ref="AP375">IF($C375&lt;&gt;"bitte wählen",INDEX(ListeLebensmittelIFEU,AP$189+1,$P375),"")</f>
        <v/>
      </c>
      <c r="AQ375" s="334" t="str" cm="1">
        <f t="array" ref="AQ375">IF($C375&lt;&gt;"bitte wählen",INDEX(ListeLebensmittelIFEU,AQ$189+1,$P375),"")</f>
        <v/>
      </c>
      <c r="AR375" s="334" t="str" cm="1">
        <f t="array" ref="AR375">IF($C375&lt;&gt;"bitte wählen",INDEX(ListeLebensmittelIFEU,AR$189+1,$P375),"")</f>
        <v/>
      </c>
      <c r="AS375" s="334" t="str" cm="1">
        <f t="array" ref="AS375">IF($C375&lt;&gt;"bitte wählen",INDEX(ListeLebensmittelIFEU,AS$189+1,$P375),"")</f>
        <v/>
      </c>
      <c r="AT375" s="334" t="str" cm="1">
        <f t="array" ref="AT375">IF($C375&lt;&gt;"bitte wählen",INDEX(ListeLebensmittelIFEU,AT$189+1,$P375),"")</f>
        <v/>
      </c>
      <c r="AU375" s="334" t="str" cm="1">
        <f t="array" ref="AU375">IF($C375&lt;&gt;"bitte wählen",INDEX(ListeLebensmittelIFEU,AU$189+1,$P375),"")</f>
        <v/>
      </c>
      <c r="AV375" s="334" t="str" cm="1">
        <f t="array" ref="AV375">IF($C375&lt;&gt;"bitte wählen",INDEX(ListeLebensmittelIFEU,AV$189+1,$P375),"")</f>
        <v/>
      </c>
      <c r="AW375" s="334" t="str" cm="1">
        <f t="array" ref="AW375">IF($C375&lt;&gt;"bitte wählen",INDEX(ListeLebensmittelIFEU,AW$189+1,$P375),"")</f>
        <v/>
      </c>
      <c r="AX375" s="334" t="str" cm="1">
        <f t="array" ref="AX375">IF($C375&lt;&gt;"bitte wählen",INDEX(ListeLebensmittelIFEU,AX$189+1,$P375),"")</f>
        <v/>
      </c>
      <c r="AY375" s="334" t="str" cm="1">
        <f t="array" ref="AY375">IF($C375&lt;&gt;"bitte wählen",INDEX(ListeLebensmittelIFEU,AY$189+1,$P375),"")</f>
        <v/>
      </c>
      <c r="AZ375" s="335" t="str" cm="1">
        <f t="array" ref="AZ375">IF($C375&lt;&gt;"bitte wählen",INDEX(ListeLebensmittelIFEU,AZ$189+1,$P375),"")</f>
        <v/>
      </c>
    </row>
    <row r="376" spans="1:52" x14ac:dyDescent="0.3">
      <c r="B376" t="s">
        <v>330</v>
      </c>
      <c r="C376" s="471" t="s">
        <v>27</v>
      </c>
      <c r="D376" s="472"/>
      <c r="E376" s="349"/>
      <c r="F376" s="473" t="s">
        <v>12</v>
      </c>
      <c r="G376" s="350" t="str">
        <f t="shared" si="92"/>
        <v/>
      </c>
      <c r="H376" s="293" t="str">
        <f t="shared" si="93"/>
        <v/>
      </c>
      <c r="P376" s="333">
        <f t="shared" si="94"/>
        <v>22</v>
      </c>
      <c r="Q376" s="334" t="e">
        <f t="shared" si="97"/>
        <v>#N/A</v>
      </c>
      <c r="R376" s="359">
        <f t="shared" si="95"/>
        <v>0</v>
      </c>
      <c r="S376" s="380">
        <f t="shared" si="96"/>
        <v>0</v>
      </c>
      <c r="T376" s="333" t="str" cm="1">
        <f t="array" ref="T376">IF($C376&lt;&gt;"bitte wählen",INDEX(ListeLebensmittelIFEU,T$189+1,$P376),"")</f>
        <v/>
      </c>
      <c r="U376" s="334" t="str" cm="1">
        <f t="array" ref="U376">IF($C376&lt;&gt;"bitte wählen",INDEX(ListeLebensmittelIFEU,U$189+1,$P376),"")</f>
        <v/>
      </c>
      <c r="V376" s="334" t="str" cm="1">
        <f t="array" ref="V376">IF($C376&lt;&gt;"bitte wählen",INDEX(ListeLebensmittelIFEU,V$189+1,$P376),"")</f>
        <v/>
      </c>
      <c r="W376" s="334" t="str" cm="1">
        <f t="array" ref="W376">IF($C376&lt;&gt;"bitte wählen",INDEX(ListeLebensmittelIFEU,W$189+1,$P376),"")</f>
        <v/>
      </c>
      <c r="X376" s="334" t="str" cm="1">
        <f t="array" ref="X376">IF($C376&lt;&gt;"bitte wählen",INDEX(ListeLebensmittelIFEU,X$189+1,$P376),"")</f>
        <v/>
      </c>
      <c r="Y376" s="334" t="str" cm="1">
        <f t="array" ref="Y376">IF($C376&lt;&gt;"bitte wählen",INDEX(ListeLebensmittelIFEU,Y$189+1,$P376),"")</f>
        <v/>
      </c>
      <c r="Z376" s="334" t="str" cm="1">
        <f t="array" ref="Z376">IF($C376&lt;&gt;"bitte wählen",INDEX(ListeLebensmittelIFEU,Z$189+1,$P376),"")</f>
        <v/>
      </c>
      <c r="AA376" s="334" t="str" cm="1">
        <f t="array" ref="AA376">IF($C376&lt;&gt;"bitte wählen",INDEX(ListeLebensmittelIFEU,AA$189+1,$P376),"")</f>
        <v/>
      </c>
      <c r="AB376" s="334" t="str" cm="1">
        <f t="array" ref="AB376">IF($C376&lt;&gt;"bitte wählen",INDEX(ListeLebensmittelIFEU,AB$189+1,$P376),"")</f>
        <v/>
      </c>
      <c r="AC376" s="334" t="str" cm="1">
        <f t="array" ref="AC376">IF($C376&lt;&gt;"bitte wählen",INDEX(ListeLebensmittelIFEU,AC$189+1,$P376),"")</f>
        <v/>
      </c>
      <c r="AD376" s="334" t="str" cm="1">
        <f t="array" ref="AD376">IF($C376&lt;&gt;"bitte wählen",INDEX(ListeLebensmittelIFEU,AD$189+1,$P376),"")</f>
        <v/>
      </c>
      <c r="AE376" s="334" t="str" cm="1">
        <f t="array" ref="AE376">IF($C376&lt;&gt;"bitte wählen",INDEX(ListeLebensmittelIFEU,AE$189+1,$P376),"")</f>
        <v/>
      </c>
      <c r="AF376" s="334" t="str" cm="1">
        <f t="array" ref="AF376">IF($C376&lt;&gt;"bitte wählen",INDEX(ListeLebensmittelIFEU,AF$189+1,$P376),"")</f>
        <v/>
      </c>
      <c r="AG376" s="334" t="str" cm="1">
        <f t="array" ref="AG376">IF($C376&lt;&gt;"bitte wählen",INDEX(ListeLebensmittelIFEU,AG$189+1,$P376),"")</f>
        <v/>
      </c>
      <c r="AH376" s="334" t="str" cm="1">
        <f t="array" ref="AH376">IF($C376&lt;&gt;"bitte wählen",INDEX(ListeLebensmittelIFEU,AH$189+1,$P376),"")</f>
        <v/>
      </c>
      <c r="AI376" s="334" t="str" cm="1">
        <f t="array" ref="AI376">IF($C376&lt;&gt;"bitte wählen",INDEX(ListeLebensmittelIFEU,AI$189+1,$P376),"")</f>
        <v/>
      </c>
      <c r="AJ376" s="334" t="str" cm="1">
        <f t="array" ref="AJ376">IF($C376&lt;&gt;"bitte wählen",INDEX(ListeLebensmittelIFEU,AJ$189+1,$P376),"")</f>
        <v/>
      </c>
      <c r="AK376" s="334" t="str" cm="1">
        <f t="array" ref="AK376">IF($C376&lt;&gt;"bitte wählen",INDEX(ListeLebensmittelIFEU,AK$189+1,$P376),"")</f>
        <v/>
      </c>
      <c r="AL376" s="334" t="str" cm="1">
        <f t="array" ref="AL376">IF($C376&lt;&gt;"bitte wählen",INDEX(ListeLebensmittelIFEU,AL$189+1,$P376),"")</f>
        <v/>
      </c>
      <c r="AM376" s="334" t="str" cm="1">
        <f t="array" ref="AM376">IF($C376&lt;&gt;"bitte wählen",INDEX(ListeLebensmittelIFEU,AM$189+1,$P376),"")</f>
        <v/>
      </c>
      <c r="AN376" s="334" t="str" cm="1">
        <f t="array" ref="AN376">IF($C376&lt;&gt;"bitte wählen",INDEX(ListeLebensmittelIFEU,AN$189+1,$P376),"")</f>
        <v/>
      </c>
      <c r="AO376" s="334" t="str" cm="1">
        <f t="array" ref="AO376">IF($C376&lt;&gt;"bitte wählen",INDEX(ListeLebensmittelIFEU,AO$189+1,$P376),"")</f>
        <v/>
      </c>
      <c r="AP376" s="334" t="str" cm="1">
        <f t="array" ref="AP376">IF($C376&lt;&gt;"bitte wählen",INDEX(ListeLebensmittelIFEU,AP$189+1,$P376),"")</f>
        <v/>
      </c>
      <c r="AQ376" s="334" t="str" cm="1">
        <f t="array" ref="AQ376">IF($C376&lt;&gt;"bitte wählen",INDEX(ListeLebensmittelIFEU,AQ$189+1,$P376),"")</f>
        <v/>
      </c>
      <c r="AR376" s="334" t="str" cm="1">
        <f t="array" ref="AR376">IF($C376&lt;&gt;"bitte wählen",INDEX(ListeLebensmittelIFEU,AR$189+1,$P376),"")</f>
        <v/>
      </c>
      <c r="AS376" s="334" t="str" cm="1">
        <f t="array" ref="AS376">IF($C376&lt;&gt;"bitte wählen",INDEX(ListeLebensmittelIFEU,AS$189+1,$P376),"")</f>
        <v/>
      </c>
      <c r="AT376" s="334" t="str" cm="1">
        <f t="array" ref="AT376">IF($C376&lt;&gt;"bitte wählen",INDEX(ListeLebensmittelIFEU,AT$189+1,$P376),"")</f>
        <v/>
      </c>
      <c r="AU376" s="334" t="str" cm="1">
        <f t="array" ref="AU376">IF($C376&lt;&gt;"bitte wählen",INDEX(ListeLebensmittelIFEU,AU$189+1,$P376),"")</f>
        <v/>
      </c>
      <c r="AV376" s="334" t="str" cm="1">
        <f t="array" ref="AV376">IF($C376&lt;&gt;"bitte wählen",INDEX(ListeLebensmittelIFEU,AV$189+1,$P376),"")</f>
        <v/>
      </c>
      <c r="AW376" s="334" t="str" cm="1">
        <f t="array" ref="AW376">IF($C376&lt;&gt;"bitte wählen",INDEX(ListeLebensmittelIFEU,AW$189+1,$P376),"")</f>
        <v/>
      </c>
      <c r="AX376" s="334" t="str" cm="1">
        <f t="array" ref="AX376">IF($C376&lt;&gt;"bitte wählen",INDEX(ListeLebensmittelIFEU,AX$189+1,$P376),"")</f>
        <v/>
      </c>
      <c r="AY376" s="334" t="str" cm="1">
        <f t="array" ref="AY376">IF($C376&lt;&gt;"bitte wählen",INDEX(ListeLebensmittelIFEU,AY$189+1,$P376),"")</f>
        <v/>
      </c>
      <c r="AZ376" s="335" t="str" cm="1">
        <f t="array" ref="AZ376">IF($C376&lt;&gt;"bitte wählen",INDEX(ListeLebensmittelIFEU,AZ$189+1,$P376),"")</f>
        <v/>
      </c>
    </row>
    <row r="377" spans="1:52" x14ac:dyDescent="0.3">
      <c r="B377" t="s">
        <v>398</v>
      </c>
      <c r="C377" s="471" t="s">
        <v>27</v>
      </c>
      <c r="D377" s="472"/>
      <c r="E377" s="349"/>
      <c r="F377" s="473" t="s">
        <v>12</v>
      </c>
      <c r="G377" s="350" t="str">
        <f t="shared" si="92"/>
        <v/>
      </c>
      <c r="H377" s="293" t="str">
        <f t="shared" si="93"/>
        <v/>
      </c>
      <c r="P377" s="336">
        <f t="shared" si="94"/>
        <v>22</v>
      </c>
      <c r="Q377" s="337" t="e">
        <f t="shared" si="97"/>
        <v>#N/A</v>
      </c>
      <c r="R377" s="360">
        <f t="shared" si="95"/>
        <v>0</v>
      </c>
      <c r="S377" s="381">
        <f t="shared" si="96"/>
        <v>0</v>
      </c>
      <c r="T377" s="336" t="str" cm="1">
        <f t="array" ref="T377">IF($C377&lt;&gt;"bitte wählen",INDEX(ListeLebensmittelIFEU,T$189+1,$P377),"")</f>
        <v/>
      </c>
      <c r="U377" s="337" t="str" cm="1">
        <f t="array" ref="U377">IF($C377&lt;&gt;"bitte wählen",INDEX(ListeLebensmittelIFEU,U$189+1,$P377),"")</f>
        <v/>
      </c>
      <c r="V377" s="337" t="str" cm="1">
        <f t="array" ref="V377">IF($C377&lt;&gt;"bitte wählen",INDEX(ListeLebensmittelIFEU,V$189+1,$P377),"")</f>
        <v/>
      </c>
      <c r="W377" s="337" t="str" cm="1">
        <f t="array" ref="W377">IF($C377&lt;&gt;"bitte wählen",INDEX(ListeLebensmittelIFEU,W$189+1,$P377),"")</f>
        <v/>
      </c>
      <c r="X377" s="337" t="str" cm="1">
        <f t="array" ref="X377">IF($C377&lt;&gt;"bitte wählen",INDEX(ListeLebensmittelIFEU,X$189+1,$P377),"")</f>
        <v/>
      </c>
      <c r="Y377" s="337" t="str" cm="1">
        <f t="array" ref="Y377">IF($C377&lt;&gt;"bitte wählen",INDEX(ListeLebensmittelIFEU,Y$189+1,$P377),"")</f>
        <v/>
      </c>
      <c r="Z377" s="337" t="str" cm="1">
        <f t="array" ref="Z377">IF($C377&lt;&gt;"bitte wählen",INDEX(ListeLebensmittelIFEU,Z$189+1,$P377),"")</f>
        <v/>
      </c>
      <c r="AA377" s="337" t="str" cm="1">
        <f t="array" ref="AA377">IF($C377&lt;&gt;"bitte wählen",INDEX(ListeLebensmittelIFEU,AA$189+1,$P377),"")</f>
        <v/>
      </c>
      <c r="AB377" s="337" t="str" cm="1">
        <f t="array" ref="AB377">IF($C377&lt;&gt;"bitte wählen",INDEX(ListeLebensmittelIFEU,AB$189+1,$P377),"")</f>
        <v/>
      </c>
      <c r="AC377" s="337" t="str" cm="1">
        <f t="array" ref="AC377">IF($C377&lt;&gt;"bitte wählen",INDEX(ListeLebensmittelIFEU,AC$189+1,$P377),"")</f>
        <v/>
      </c>
      <c r="AD377" s="337" t="str" cm="1">
        <f t="array" ref="AD377">IF($C377&lt;&gt;"bitte wählen",INDEX(ListeLebensmittelIFEU,AD$189+1,$P377),"")</f>
        <v/>
      </c>
      <c r="AE377" s="337" t="str" cm="1">
        <f t="array" ref="AE377">IF($C377&lt;&gt;"bitte wählen",INDEX(ListeLebensmittelIFEU,AE$189+1,$P377),"")</f>
        <v/>
      </c>
      <c r="AF377" s="337" t="str" cm="1">
        <f t="array" ref="AF377">IF($C377&lt;&gt;"bitte wählen",INDEX(ListeLebensmittelIFEU,AF$189+1,$P377),"")</f>
        <v/>
      </c>
      <c r="AG377" s="337" t="str" cm="1">
        <f t="array" ref="AG377">IF($C377&lt;&gt;"bitte wählen",INDEX(ListeLebensmittelIFEU,AG$189+1,$P377),"")</f>
        <v/>
      </c>
      <c r="AH377" s="337" t="str" cm="1">
        <f t="array" ref="AH377">IF($C377&lt;&gt;"bitte wählen",INDEX(ListeLebensmittelIFEU,AH$189+1,$P377),"")</f>
        <v/>
      </c>
      <c r="AI377" s="337" t="str" cm="1">
        <f t="array" ref="AI377">IF($C377&lt;&gt;"bitte wählen",INDEX(ListeLebensmittelIFEU,AI$189+1,$P377),"")</f>
        <v/>
      </c>
      <c r="AJ377" s="337" t="str" cm="1">
        <f t="array" ref="AJ377">IF($C377&lt;&gt;"bitte wählen",INDEX(ListeLebensmittelIFEU,AJ$189+1,$P377),"")</f>
        <v/>
      </c>
      <c r="AK377" s="337" t="str" cm="1">
        <f t="array" ref="AK377">IF($C377&lt;&gt;"bitte wählen",INDEX(ListeLebensmittelIFEU,AK$189+1,$P377),"")</f>
        <v/>
      </c>
      <c r="AL377" s="337" t="str" cm="1">
        <f t="array" ref="AL377">IF($C377&lt;&gt;"bitte wählen",INDEX(ListeLebensmittelIFEU,AL$189+1,$P377),"")</f>
        <v/>
      </c>
      <c r="AM377" s="337" t="str" cm="1">
        <f t="array" ref="AM377">IF($C377&lt;&gt;"bitte wählen",INDEX(ListeLebensmittelIFEU,AM$189+1,$P377),"")</f>
        <v/>
      </c>
      <c r="AN377" s="337" t="str" cm="1">
        <f t="array" ref="AN377">IF($C377&lt;&gt;"bitte wählen",INDEX(ListeLebensmittelIFEU,AN$189+1,$P377),"")</f>
        <v/>
      </c>
      <c r="AO377" s="337" t="str" cm="1">
        <f t="array" ref="AO377">IF($C377&lt;&gt;"bitte wählen",INDEX(ListeLebensmittelIFEU,AO$189+1,$P377),"")</f>
        <v/>
      </c>
      <c r="AP377" s="337" t="str" cm="1">
        <f t="array" ref="AP377">IF($C377&lt;&gt;"bitte wählen",INDEX(ListeLebensmittelIFEU,AP$189+1,$P377),"")</f>
        <v/>
      </c>
      <c r="AQ377" s="337" t="str" cm="1">
        <f t="array" ref="AQ377">IF($C377&lt;&gt;"bitte wählen",INDEX(ListeLebensmittelIFEU,AQ$189+1,$P377),"")</f>
        <v/>
      </c>
      <c r="AR377" s="337" t="str" cm="1">
        <f t="array" ref="AR377">IF($C377&lt;&gt;"bitte wählen",INDEX(ListeLebensmittelIFEU,AR$189+1,$P377),"")</f>
        <v/>
      </c>
      <c r="AS377" s="337" t="str" cm="1">
        <f t="array" ref="AS377">IF($C377&lt;&gt;"bitte wählen",INDEX(ListeLebensmittelIFEU,AS$189+1,$P377),"")</f>
        <v/>
      </c>
      <c r="AT377" s="337" t="str" cm="1">
        <f t="array" ref="AT377">IF($C377&lt;&gt;"bitte wählen",INDEX(ListeLebensmittelIFEU,AT$189+1,$P377),"")</f>
        <v/>
      </c>
      <c r="AU377" s="337" t="str" cm="1">
        <f t="array" ref="AU377">IF($C377&lt;&gt;"bitte wählen",INDEX(ListeLebensmittelIFEU,AU$189+1,$P377),"")</f>
        <v/>
      </c>
      <c r="AV377" s="337" t="str" cm="1">
        <f t="array" ref="AV377">IF($C377&lt;&gt;"bitte wählen",INDEX(ListeLebensmittelIFEU,AV$189+1,$P377),"")</f>
        <v/>
      </c>
      <c r="AW377" s="337" t="str" cm="1">
        <f t="array" ref="AW377">IF($C377&lt;&gt;"bitte wählen",INDEX(ListeLebensmittelIFEU,AW$189+1,$P377),"")</f>
        <v/>
      </c>
      <c r="AX377" s="337" t="str" cm="1">
        <f t="array" ref="AX377">IF($C377&lt;&gt;"bitte wählen",INDEX(ListeLebensmittelIFEU,AX$189+1,$P377),"")</f>
        <v/>
      </c>
      <c r="AY377" s="337" t="str" cm="1">
        <f t="array" ref="AY377">IF($C377&lt;&gt;"bitte wählen",INDEX(ListeLebensmittelIFEU,AY$189+1,$P377),"")</f>
        <v/>
      </c>
      <c r="AZ377" s="338" t="str" cm="1">
        <f t="array" ref="AZ377">IF($C377&lt;&gt;"bitte wählen",INDEX(ListeLebensmittelIFEU,AZ$189+1,$P377),"")</f>
        <v/>
      </c>
    </row>
    <row r="378" spans="1:52" x14ac:dyDescent="0.3">
      <c r="B378" s="105" t="str">
        <f>IF(R378,IF(E378/IF(D370="",1,D370)&lt;GewichtMittagessenMin,"Hinweis: Dies scheint eine relativ kleine Portion zu sein",IF(E378/IF(D370="",1,D370)&gt;GewichtMittagessenMax,"Hinweis: Dies scheint eine relativ große Portion zu sein","")),"")</f>
        <v/>
      </c>
      <c r="C378" s="78"/>
      <c r="D378" s="78"/>
      <c r="E378" s="355">
        <f>SUM(E372:E377)-SUMIF(C372:C377,"Getränke",E372:E377)</f>
        <v>0</v>
      </c>
      <c r="G378" s="15" t="s">
        <v>622</v>
      </c>
      <c r="H378" s="293">
        <f>SUM(H372:H377)</f>
        <v>0</v>
      </c>
      <c r="Q378" s="383" t="s">
        <v>1030</v>
      </c>
      <c r="R378" s="386" t="b">
        <f>IF(SUM(R372:R377)&gt;0,TRUE,FALSE)</f>
        <v>0</v>
      </c>
      <c r="S378" s="383">
        <f>SUM(S372:S377)</f>
        <v>0</v>
      </c>
      <c r="T378" s="383" t="s">
        <v>1029</v>
      </c>
      <c r="U378" s="383" t="str">
        <f>IF(R378,IF(S378&gt;9,10,IF(S378&gt;0,1,0)),"")</f>
        <v/>
      </c>
    </row>
    <row r="379" spans="1:52" x14ac:dyDescent="0.3">
      <c r="B379" s="385" t="str">
        <f>IF(U378=0,"🌱 vegan","")</f>
        <v/>
      </c>
      <c r="C379" s="105" t="str">
        <f>IF(U378=1,"Ⓥ vegetarisch","")</f>
        <v/>
      </c>
      <c r="D379" s="384" t="str">
        <f>IF(U378=10,"🥩 mit Fleisch/Fisch","")</f>
        <v/>
      </c>
      <c r="E379" s="78"/>
      <c r="G379" s="15" t="s">
        <v>623</v>
      </c>
      <c r="H379" s="294">
        <f>IF(D370="",H378,H378/D370)</f>
        <v>0</v>
      </c>
    </row>
    <row r="380" spans="1:52" x14ac:dyDescent="0.3">
      <c r="C380" s="78"/>
      <c r="D380" s="78"/>
      <c r="E380" s="78"/>
      <c r="G380" s="15"/>
      <c r="H380" s="15"/>
    </row>
    <row r="381" spans="1:52" ht="18" thickBot="1" x14ac:dyDescent="0.4">
      <c r="B381" s="496" t="str">
        <f>"CO₂-Bilanz Gericht 16: "&amp;D382</f>
        <v>CO₂-Bilanz Gericht 16: Menü 16</v>
      </c>
      <c r="C381" s="496"/>
      <c r="D381" s="496"/>
      <c r="E381" s="496"/>
      <c r="T381" s="84"/>
    </row>
    <row r="382" spans="1:52" ht="15" thickTop="1" x14ac:dyDescent="0.3">
      <c r="B382" t="s">
        <v>994</v>
      </c>
      <c r="D382" s="288" t="s">
        <v>1023</v>
      </c>
      <c r="F382" s="78"/>
      <c r="G382" s="78"/>
      <c r="H382" s="78"/>
      <c r="I382" s="78"/>
    </row>
    <row r="383" spans="1:52" x14ac:dyDescent="0.3">
      <c r="B383" t="s">
        <v>995</v>
      </c>
      <c r="C383" s="78"/>
      <c r="D383" s="291">
        <v>1</v>
      </c>
      <c r="E383" s="301" t="str">
        <f>IF(ISNUMBER(FIND("g",_xlfn.CONCAT(E385:E390))),"Bitte Menge als reine Zahl ohne Zusatz g eingeben","")</f>
        <v/>
      </c>
      <c r="G383" s="78"/>
      <c r="H383" s="78"/>
      <c r="T383" s="329" t="s">
        <v>918</v>
      </c>
      <c r="U383" s="330"/>
      <c r="V383" s="330"/>
      <c r="W383" s="330"/>
      <c r="X383" s="330"/>
      <c r="Y383" s="330"/>
    </row>
    <row r="384" spans="1:52" ht="44.4" x14ac:dyDescent="0.35">
      <c r="A384" s="376" t="s">
        <v>1217</v>
      </c>
      <c r="C384" s="297" t="s">
        <v>993</v>
      </c>
      <c r="D384" s="313" t="s">
        <v>992</v>
      </c>
      <c r="E384" s="298" t="s">
        <v>323</v>
      </c>
      <c r="F384" s="298" t="s">
        <v>324</v>
      </c>
      <c r="G384" s="296" t="s">
        <v>534</v>
      </c>
      <c r="H384" s="296" t="s">
        <v>535</v>
      </c>
      <c r="P384" s="356" t="s">
        <v>956</v>
      </c>
      <c r="Q384" s="356" t="s">
        <v>957</v>
      </c>
      <c r="R384" s="357" t="s">
        <v>958</v>
      </c>
      <c r="S384" s="357" t="s">
        <v>1028</v>
      </c>
      <c r="T384" s="361">
        <v>1</v>
      </c>
      <c r="U384" s="362">
        <v>2</v>
      </c>
      <c r="V384" s="362">
        <v>3</v>
      </c>
      <c r="W384" s="362">
        <v>4</v>
      </c>
      <c r="X384" s="362">
        <v>5</v>
      </c>
      <c r="Y384" s="362">
        <v>6</v>
      </c>
      <c r="Z384" s="362">
        <v>7</v>
      </c>
      <c r="AA384" s="362">
        <v>8</v>
      </c>
      <c r="AB384" s="362">
        <v>9</v>
      </c>
      <c r="AC384" s="362">
        <v>10</v>
      </c>
      <c r="AD384" s="362">
        <v>11</v>
      </c>
      <c r="AE384" s="362">
        <v>12</v>
      </c>
      <c r="AF384" s="362">
        <v>13</v>
      </c>
      <c r="AG384" s="362">
        <v>14</v>
      </c>
      <c r="AH384" s="362">
        <v>15</v>
      </c>
      <c r="AI384" s="362">
        <v>16</v>
      </c>
      <c r="AJ384" s="362">
        <v>17</v>
      </c>
      <c r="AK384" s="362">
        <v>18</v>
      </c>
      <c r="AL384" s="362">
        <v>19</v>
      </c>
      <c r="AM384" s="362">
        <v>20</v>
      </c>
      <c r="AN384" s="362">
        <v>21</v>
      </c>
      <c r="AO384" s="362">
        <v>22</v>
      </c>
      <c r="AP384" s="362">
        <v>23</v>
      </c>
      <c r="AQ384" s="362">
        <v>24</v>
      </c>
      <c r="AR384" s="362">
        <v>25</v>
      </c>
      <c r="AS384" s="362">
        <v>26</v>
      </c>
      <c r="AT384" s="362">
        <v>27</v>
      </c>
      <c r="AU384" s="362">
        <v>28</v>
      </c>
      <c r="AV384" s="362">
        <v>29</v>
      </c>
      <c r="AW384" s="362">
        <v>30</v>
      </c>
      <c r="AX384" s="362">
        <v>31</v>
      </c>
      <c r="AY384" s="362">
        <v>32</v>
      </c>
      <c r="AZ384" s="363">
        <v>33</v>
      </c>
    </row>
    <row r="385" spans="1:52" x14ac:dyDescent="0.3">
      <c r="B385" t="s">
        <v>13</v>
      </c>
      <c r="C385" s="471" t="s">
        <v>27</v>
      </c>
      <c r="D385" s="472"/>
      <c r="E385" s="470"/>
      <c r="F385" s="473" t="s">
        <v>12</v>
      </c>
      <c r="G385" s="350" t="str">
        <f t="shared" ref="G385:G390" si="98">IF(D385="","",R385*IF(F385="Ja",FaktorBeiLokalemProdukt,1))</f>
        <v/>
      </c>
      <c r="H385" s="293" t="str">
        <f t="shared" ref="H385:H390" si="99">IF(D385="","",E385*G385)</f>
        <v/>
      </c>
      <c r="P385" s="331">
        <f t="shared" ref="P385:P390" si="100">VLOOKUP(C385,$C$457:$D$464,2,FALSE)</f>
        <v>22</v>
      </c>
      <c r="Q385" s="332" t="e">
        <f>MATCH(D385,T385:AZ385,0)</f>
        <v>#N/A</v>
      </c>
      <c r="R385" s="358">
        <f t="shared" ref="R385:R390" si="101">_xlfn.IFNA(IF(D385&lt;&gt;"",VLOOKUP(D385,$C$544:$E$774,2,FALSE),0),0)</f>
        <v>0</v>
      </c>
      <c r="S385" s="358">
        <f t="shared" ref="S385:S390" si="102">_xlfn.IFNA(IF(D385&lt;&gt;"",VLOOKUP(D385,$C$544:$E$774,3,FALSE),0),0)</f>
        <v>0</v>
      </c>
      <c r="T385" s="333" t="str" cm="1">
        <f t="array" ref="T385">IF($C385&lt;&gt;"bitte wählen",INDEX(ListeLebensmittelIFEU,T$189+1,$P385),"")</f>
        <v/>
      </c>
      <c r="U385" s="334" t="str" cm="1">
        <f t="array" ref="U385">IF($C385&lt;&gt;"bitte wählen",INDEX(ListeLebensmittelIFEU,U$189+1,$P385),"")</f>
        <v/>
      </c>
      <c r="V385" s="334" t="str" cm="1">
        <f t="array" ref="V385">IF($C385&lt;&gt;"bitte wählen",INDEX(ListeLebensmittelIFEU,V$189+1,$P385),"")</f>
        <v/>
      </c>
      <c r="W385" s="334" t="str" cm="1">
        <f t="array" ref="W385">IF($C385&lt;&gt;"bitte wählen",INDEX(ListeLebensmittelIFEU,W$189+1,$P385),"")</f>
        <v/>
      </c>
      <c r="X385" s="334" t="str" cm="1">
        <f t="array" ref="X385">IF($C385&lt;&gt;"bitte wählen",INDEX(ListeLebensmittelIFEU,X$189+1,$P385),"")</f>
        <v/>
      </c>
      <c r="Y385" s="334" t="str" cm="1">
        <f t="array" ref="Y385">IF($C385&lt;&gt;"bitte wählen",INDEX(ListeLebensmittelIFEU,Y$189+1,$P385),"")</f>
        <v/>
      </c>
      <c r="Z385" s="334" t="str" cm="1">
        <f t="array" ref="Z385">IF($C385&lt;&gt;"bitte wählen",INDEX(ListeLebensmittelIFEU,Z$189+1,$P385),"")</f>
        <v/>
      </c>
      <c r="AA385" s="334" t="str" cm="1">
        <f t="array" ref="AA385">IF($C385&lt;&gt;"bitte wählen",INDEX(ListeLebensmittelIFEU,AA$189+1,$P385),"")</f>
        <v/>
      </c>
      <c r="AB385" s="334" t="str" cm="1">
        <f t="array" ref="AB385">IF($C385&lt;&gt;"bitte wählen",INDEX(ListeLebensmittelIFEU,AB$189+1,$P385),"")</f>
        <v/>
      </c>
      <c r="AC385" s="334" t="str" cm="1">
        <f t="array" ref="AC385">IF($C385&lt;&gt;"bitte wählen",INDEX(ListeLebensmittelIFEU,AC$189+1,$P385),"")</f>
        <v/>
      </c>
      <c r="AD385" s="334" t="str" cm="1">
        <f t="array" ref="AD385">IF($C385&lt;&gt;"bitte wählen",INDEX(ListeLebensmittelIFEU,AD$189+1,$P385),"")</f>
        <v/>
      </c>
      <c r="AE385" s="334" t="str" cm="1">
        <f t="array" ref="AE385">IF($C385&lt;&gt;"bitte wählen",INDEX(ListeLebensmittelIFEU,AE$189+1,$P385),"")</f>
        <v/>
      </c>
      <c r="AF385" s="334" t="str" cm="1">
        <f t="array" ref="AF385">IF($C385&lt;&gt;"bitte wählen",INDEX(ListeLebensmittelIFEU,AF$189+1,$P385),"")</f>
        <v/>
      </c>
      <c r="AG385" s="334" t="str" cm="1">
        <f t="array" ref="AG385">IF($C385&lt;&gt;"bitte wählen",INDEX(ListeLebensmittelIFEU,AG$189+1,$P385),"")</f>
        <v/>
      </c>
      <c r="AH385" s="334" t="str" cm="1">
        <f t="array" ref="AH385">IF($C385&lt;&gt;"bitte wählen",INDEX(ListeLebensmittelIFEU,AH$189+1,$P385),"")</f>
        <v/>
      </c>
      <c r="AI385" s="334" t="str" cm="1">
        <f t="array" ref="AI385">IF($C385&lt;&gt;"bitte wählen",INDEX(ListeLebensmittelIFEU,AI$189+1,$P385),"")</f>
        <v/>
      </c>
      <c r="AJ385" s="334" t="str" cm="1">
        <f t="array" ref="AJ385">IF($C385&lt;&gt;"bitte wählen",INDEX(ListeLebensmittelIFEU,AJ$189+1,$P385),"")</f>
        <v/>
      </c>
      <c r="AK385" s="334" t="str" cm="1">
        <f t="array" ref="AK385">IF($C385&lt;&gt;"bitte wählen",INDEX(ListeLebensmittelIFEU,AK$189+1,$P385),"")</f>
        <v/>
      </c>
      <c r="AL385" s="334" t="str" cm="1">
        <f t="array" ref="AL385">IF($C385&lt;&gt;"bitte wählen",INDEX(ListeLebensmittelIFEU,AL$189+1,$P385),"")</f>
        <v/>
      </c>
      <c r="AM385" s="334" t="str" cm="1">
        <f t="array" ref="AM385">IF($C385&lt;&gt;"bitte wählen",INDEX(ListeLebensmittelIFEU,AM$189+1,$P385),"")</f>
        <v/>
      </c>
      <c r="AN385" s="334" t="str" cm="1">
        <f t="array" ref="AN385">IF($C385&lt;&gt;"bitte wählen",INDEX(ListeLebensmittelIFEU,AN$189+1,$P385),"")</f>
        <v/>
      </c>
      <c r="AO385" s="334" t="str" cm="1">
        <f t="array" ref="AO385">IF($C385&lt;&gt;"bitte wählen",INDEX(ListeLebensmittelIFEU,AO$189+1,$P385),"")</f>
        <v/>
      </c>
      <c r="AP385" s="334" t="str" cm="1">
        <f t="array" ref="AP385">IF($C385&lt;&gt;"bitte wählen",INDEX(ListeLebensmittelIFEU,AP$189+1,$P385),"")</f>
        <v/>
      </c>
      <c r="AQ385" s="334" t="str" cm="1">
        <f t="array" ref="AQ385">IF($C385&lt;&gt;"bitte wählen",INDEX(ListeLebensmittelIFEU,AQ$189+1,$P385),"")</f>
        <v/>
      </c>
      <c r="AR385" s="334" t="str" cm="1">
        <f t="array" ref="AR385">IF($C385&lt;&gt;"bitte wählen",INDEX(ListeLebensmittelIFEU,AR$189+1,$P385),"")</f>
        <v/>
      </c>
      <c r="AS385" s="334" t="str" cm="1">
        <f t="array" ref="AS385">IF($C385&lt;&gt;"bitte wählen",INDEX(ListeLebensmittelIFEU,AS$189+1,$P385),"")</f>
        <v/>
      </c>
      <c r="AT385" s="334" t="str" cm="1">
        <f t="array" ref="AT385">IF($C385&lt;&gt;"bitte wählen",INDEX(ListeLebensmittelIFEU,AT$189+1,$P385),"")</f>
        <v/>
      </c>
      <c r="AU385" s="334" t="str" cm="1">
        <f t="array" ref="AU385">IF($C385&lt;&gt;"bitte wählen",INDEX(ListeLebensmittelIFEU,AU$189+1,$P385),"")</f>
        <v/>
      </c>
      <c r="AV385" s="334" t="str" cm="1">
        <f t="array" ref="AV385">IF($C385&lt;&gt;"bitte wählen",INDEX(ListeLebensmittelIFEU,AV$189+1,$P385),"")</f>
        <v/>
      </c>
      <c r="AW385" s="334" t="str" cm="1">
        <f t="array" ref="AW385">IF($C385&lt;&gt;"bitte wählen",INDEX(ListeLebensmittelIFEU,AW$189+1,$P385),"")</f>
        <v/>
      </c>
      <c r="AX385" s="334" t="str" cm="1">
        <f t="array" ref="AX385">IF($C385&lt;&gt;"bitte wählen",INDEX(ListeLebensmittelIFEU,AX$189+1,$P385),"")</f>
        <v/>
      </c>
      <c r="AY385" s="334" t="str" cm="1">
        <f t="array" ref="AY385">IF($C385&lt;&gt;"bitte wählen",INDEX(ListeLebensmittelIFEU,AY$189+1,$P385),"")</f>
        <v/>
      </c>
      <c r="AZ385" s="335" t="str" cm="1">
        <f t="array" ref="AZ385">IF($C385&lt;&gt;"bitte wählen",INDEX(ListeLebensmittelIFEU,AZ$189+1,$P385),"")</f>
        <v/>
      </c>
    </row>
    <row r="386" spans="1:52" x14ac:dyDescent="0.3">
      <c r="B386" t="s">
        <v>327</v>
      </c>
      <c r="C386" s="471" t="s">
        <v>27</v>
      </c>
      <c r="D386" s="472"/>
      <c r="E386" s="349"/>
      <c r="F386" s="473" t="s">
        <v>12</v>
      </c>
      <c r="G386" s="350" t="str">
        <f t="shared" si="98"/>
        <v/>
      </c>
      <c r="H386" s="293" t="str">
        <f t="shared" si="99"/>
        <v/>
      </c>
      <c r="P386" s="333">
        <f t="shared" si="100"/>
        <v>22</v>
      </c>
      <c r="Q386" s="334" t="e">
        <f t="shared" ref="Q386:Q390" si="103">MATCH(D386,T386:AZ386,0)</f>
        <v>#N/A</v>
      </c>
      <c r="R386" s="359">
        <f t="shared" si="101"/>
        <v>0</v>
      </c>
      <c r="S386" s="380">
        <f t="shared" si="102"/>
        <v>0</v>
      </c>
      <c r="T386" s="333" t="str" cm="1">
        <f t="array" ref="T386">IF($C386&lt;&gt;"bitte wählen",INDEX(ListeLebensmittelIFEU,T$189+1,$P386),"")</f>
        <v/>
      </c>
      <c r="U386" s="334" t="str" cm="1">
        <f t="array" ref="U386">IF($C386&lt;&gt;"bitte wählen",INDEX(ListeLebensmittelIFEU,U$189+1,$P386),"")</f>
        <v/>
      </c>
      <c r="V386" s="334" t="str" cm="1">
        <f t="array" ref="V386">IF($C386&lt;&gt;"bitte wählen",INDEX(ListeLebensmittelIFEU,V$189+1,$P386),"")</f>
        <v/>
      </c>
      <c r="W386" s="334" t="str" cm="1">
        <f t="array" ref="W386">IF($C386&lt;&gt;"bitte wählen",INDEX(ListeLebensmittelIFEU,W$189+1,$P386),"")</f>
        <v/>
      </c>
      <c r="X386" s="334" t="str" cm="1">
        <f t="array" ref="X386">IF($C386&lt;&gt;"bitte wählen",INDEX(ListeLebensmittelIFEU,X$189+1,$P386),"")</f>
        <v/>
      </c>
      <c r="Y386" s="334" t="str" cm="1">
        <f t="array" ref="Y386">IF($C386&lt;&gt;"bitte wählen",INDEX(ListeLebensmittelIFEU,Y$189+1,$P386),"")</f>
        <v/>
      </c>
      <c r="Z386" s="334" t="str" cm="1">
        <f t="array" ref="Z386">IF($C386&lt;&gt;"bitte wählen",INDEX(ListeLebensmittelIFEU,Z$189+1,$P386),"")</f>
        <v/>
      </c>
      <c r="AA386" s="334" t="str" cm="1">
        <f t="array" ref="AA386">IF($C386&lt;&gt;"bitte wählen",INDEX(ListeLebensmittelIFEU,AA$189+1,$P386),"")</f>
        <v/>
      </c>
      <c r="AB386" s="334" t="str" cm="1">
        <f t="array" ref="AB386">IF($C386&lt;&gt;"bitte wählen",INDEX(ListeLebensmittelIFEU,AB$189+1,$P386),"")</f>
        <v/>
      </c>
      <c r="AC386" s="334" t="str" cm="1">
        <f t="array" ref="AC386">IF($C386&lt;&gt;"bitte wählen",INDEX(ListeLebensmittelIFEU,AC$189+1,$P386),"")</f>
        <v/>
      </c>
      <c r="AD386" s="334" t="str" cm="1">
        <f t="array" ref="AD386">IF($C386&lt;&gt;"bitte wählen",INDEX(ListeLebensmittelIFEU,AD$189+1,$P386),"")</f>
        <v/>
      </c>
      <c r="AE386" s="334" t="str" cm="1">
        <f t="array" ref="AE386">IF($C386&lt;&gt;"bitte wählen",INDEX(ListeLebensmittelIFEU,AE$189+1,$P386),"")</f>
        <v/>
      </c>
      <c r="AF386" s="334" t="str" cm="1">
        <f t="array" ref="AF386">IF($C386&lt;&gt;"bitte wählen",INDEX(ListeLebensmittelIFEU,AF$189+1,$P386),"")</f>
        <v/>
      </c>
      <c r="AG386" s="334" t="str" cm="1">
        <f t="array" ref="AG386">IF($C386&lt;&gt;"bitte wählen",INDEX(ListeLebensmittelIFEU,AG$189+1,$P386),"")</f>
        <v/>
      </c>
      <c r="AH386" s="334" t="str" cm="1">
        <f t="array" ref="AH386">IF($C386&lt;&gt;"bitte wählen",INDEX(ListeLebensmittelIFEU,AH$189+1,$P386),"")</f>
        <v/>
      </c>
      <c r="AI386" s="334" t="str" cm="1">
        <f t="array" ref="AI386">IF($C386&lt;&gt;"bitte wählen",INDEX(ListeLebensmittelIFEU,AI$189+1,$P386),"")</f>
        <v/>
      </c>
      <c r="AJ386" s="334" t="str" cm="1">
        <f t="array" ref="AJ386">IF($C386&lt;&gt;"bitte wählen",INDEX(ListeLebensmittelIFEU,AJ$189+1,$P386),"")</f>
        <v/>
      </c>
      <c r="AK386" s="334" t="str" cm="1">
        <f t="array" ref="AK386">IF($C386&lt;&gt;"bitte wählen",INDEX(ListeLebensmittelIFEU,AK$189+1,$P386),"")</f>
        <v/>
      </c>
      <c r="AL386" s="334" t="str" cm="1">
        <f t="array" ref="AL386">IF($C386&lt;&gt;"bitte wählen",INDEX(ListeLebensmittelIFEU,AL$189+1,$P386),"")</f>
        <v/>
      </c>
      <c r="AM386" s="334" t="str" cm="1">
        <f t="array" ref="AM386">IF($C386&lt;&gt;"bitte wählen",INDEX(ListeLebensmittelIFEU,AM$189+1,$P386),"")</f>
        <v/>
      </c>
      <c r="AN386" s="334" t="str" cm="1">
        <f t="array" ref="AN386">IF($C386&lt;&gt;"bitte wählen",INDEX(ListeLebensmittelIFEU,AN$189+1,$P386),"")</f>
        <v/>
      </c>
      <c r="AO386" s="334" t="str" cm="1">
        <f t="array" ref="AO386">IF($C386&lt;&gt;"bitte wählen",INDEX(ListeLebensmittelIFEU,AO$189+1,$P386),"")</f>
        <v/>
      </c>
      <c r="AP386" s="334" t="str" cm="1">
        <f t="array" ref="AP386">IF($C386&lt;&gt;"bitte wählen",INDEX(ListeLebensmittelIFEU,AP$189+1,$P386),"")</f>
        <v/>
      </c>
      <c r="AQ386" s="334" t="str" cm="1">
        <f t="array" ref="AQ386">IF($C386&lt;&gt;"bitte wählen",INDEX(ListeLebensmittelIFEU,AQ$189+1,$P386),"")</f>
        <v/>
      </c>
      <c r="AR386" s="334" t="str" cm="1">
        <f t="array" ref="AR386">IF($C386&lt;&gt;"bitte wählen",INDEX(ListeLebensmittelIFEU,AR$189+1,$P386),"")</f>
        <v/>
      </c>
      <c r="AS386" s="334" t="str" cm="1">
        <f t="array" ref="AS386">IF($C386&lt;&gt;"bitte wählen",INDEX(ListeLebensmittelIFEU,AS$189+1,$P386),"")</f>
        <v/>
      </c>
      <c r="AT386" s="334" t="str" cm="1">
        <f t="array" ref="AT386">IF($C386&lt;&gt;"bitte wählen",INDEX(ListeLebensmittelIFEU,AT$189+1,$P386),"")</f>
        <v/>
      </c>
      <c r="AU386" s="334" t="str" cm="1">
        <f t="array" ref="AU386">IF($C386&lt;&gt;"bitte wählen",INDEX(ListeLebensmittelIFEU,AU$189+1,$P386),"")</f>
        <v/>
      </c>
      <c r="AV386" s="334" t="str" cm="1">
        <f t="array" ref="AV386">IF($C386&lt;&gt;"bitte wählen",INDEX(ListeLebensmittelIFEU,AV$189+1,$P386),"")</f>
        <v/>
      </c>
      <c r="AW386" s="334" t="str" cm="1">
        <f t="array" ref="AW386">IF($C386&lt;&gt;"bitte wählen",INDEX(ListeLebensmittelIFEU,AW$189+1,$P386),"")</f>
        <v/>
      </c>
      <c r="AX386" s="334" t="str" cm="1">
        <f t="array" ref="AX386">IF($C386&lt;&gt;"bitte wählen",INDEX(ListeLebensmittelIFEU,AX$189+1,$P386),"")</f>
        <v/>
      </c>
      <c r="AY386" s="334" t="str" cm="1">
        <f t="array" ref="AY386">IF($C386&lt;&gt;"bitte wählen",INDEX(ListeLebensmittelIFEU,AY$189+1,$P386),"")</f>
        <v/>
      </c>
      <c r="AZ386" s="335" t="str" cm="1">
        <f t="array" ref="AZ386">IF($C386&lt;&gt;"bitte wählen",INDEX(ListeLebensmittelIFEU,AZ$189+1,$P386),"")</f>
        <v/>
      </c>
    </row>
    <row r="387" spans="1:52" x14ac:dyDescent="0.3">
      <c r="B387" t="s">
        <v>328</v>
      </c>
      <c r="C387" s="471" t="s">
        <v>27</v>
      </c>
      <c r="D387" s="472"/>
      <c r="E387" s="349"/>
      <c r="F387" s="473" t="s">
        <v>12</v>
      </c>
      <c r="G387" s="350" t="str">
        <f t="shared" si="98"/>
        <v/>
      </c>
      <c r="H387" s="293" t="str">
        <f t="shared" si="99"/>
        <v/>
      </c>
      <c r="P387" s="333">
        <f t="shared" si="100"/>
        <v>22</v>
      </c>
      <c r="Q387" s="334" t="e">
        <f t="shared" si="103"/>
        <v>#N/A</v>
      </c>
      <c r="R387" s="359">
        <f t="shared" si="101"/>
        <v>0</v>
      </c>
      <c r="S387" s="380">
        <f t="shared" si="102"/>
        <v>0</v>
      </c>
      <c r="T387" s="333" t="str" cm="1">
        <f t="array" ref="T387">IF($C387&lt;&gt;"bitte wählen",INDEX(ListeLebensmittelIFEU,T$189+1,$P387),"")</f>
        <v/>
      </c>
      <c r="U387" s="334" t="str" cm="1">
        <f t="array" ref="U387">IF($C387&lt;&gt;"bitte wählen",INDEX(ListeLebensmittelIFEU,U$189+1,$P387),"")</f>
        <v/>
      </c>
      <c r="V387" s="334" t="str" cm="1">
        <f t="array" ref="V387">IF($C387&lt;&gt;"bitte wählen",INDEX(ListeLebensmittelIFEU,V$189+1,$P387),"")</f>
        <v/>
      </c>
      <c r="W387" s="334" t="str" cm="1">
        <f t="array" ref="W387">IF($C387&lt;&gt;"bitte wählen",INDEX(ListeLebensmittelIFEU,W$189+1,$P387),"")</f>
        <v/>
      </c>
      <c r="X387" s="334" t="str" cm="1">
        <f t="array" ref="X387">IF($C387&lt;&gt;"bitte wählen",INDEX(ListeLebensmittelIFEU,X$189+1,$P387),"")</f>
        <v/>
      </c>
      <c r="Y387" s="334" t="str" cm="1">
        <f t="array" ref="Y387">IF($C387&lt;&gt;"bitte wählen",INDEX(ListeLebensmittelIFEU,Y$189+1,$P387),"")</f>
        <v/>
      </c>
      <c r="Z387" s="334" t="str" cm="1">
        <f t="array" ref="Z387">IF($C387&lt;&gt;"bitte wählen",INDEX(ListeLebensmittelIFEU,Z$189+1,$P387),"")</f>
        <v/>
      </c>
      <c r="AA387" s="334" t="str" cm="1">
        <f t="array" ref="AA387">IF($C387&lt;&gt;"bitte wählen",INDEX(ListeLebensmittelIFEU,AA$189+1,$P387),"")</f>
        <v/>
      </c>
      <c r="AB387" s="334" t="str" cm="1">
        <f t="array" ref="AB387">IF($C387&lt;&gt;"bitte wählen",INDEX(ListeLebensmittelIFEU,AB$189+1,$P387),"")</f>
        <v/>
      </c>
      <c r="AC387" s="334" t="str" cm="1">
        <f t="array" ref="AC387">IF($C387&lt;&gt;"bitte wählen",INDEX(ListeLebensmittelIFEU,AC$189+1,$P387),"")</f>
        <v/>
      </c>
      <c r="AD387" s="334" t="str" cm="1">
        <f t="array" ref="AD387">IF($C387&lt;&gt;"bitte wählen",INDEX(ListeLebensmittelIFEU,AD$189+1,$P387),"")</f>
        <v/>
      </c>
      <c r="AE387" s="334" t="str" cm="1">
        <f t="array" ref="AE387">IF($C387&lt;&gt;"bitte wählen",INDEX(ListeLebensmittelIFEU,AE$189+1,$P387),"")</f>
        <v/>
      </c>
      <c r="AF387" s="334" t="str" cm="1">
        <f t="array" ref="AF387">IF($C387&lt;&gt;"bitte wählen",INDEX(ListeLebensmittelIFEU,AF$189+1,$P387),"")</f>
        <v/>
      </c>
      <c r="AG387" s="334" t="str" cm="1">
        <f t="array" ref="AG387">IF($C387&lt;&gt;"bitte wählen",INDEX(ListeLebensmittelIFEU,AG$189+1,$P387),"")</f>
        <v/>
      </c>
      <c r="AH387" s="334" t="str" cm="1">
        <f t="array" ref="AH387">IF($C387&lt;&gt;"bitte wählen",INDEX(ListeLebensmittelIFEU,AH$189+1,$P387),"")</f>
        <v/>
      </c>
      <c r="AI387" s="334" t="str" cm="1">
        <f t="array" ref="AI387">IF($C387&lt;&gt;"bitte wählen",INDEX(ListeLebensmittelIFEU,AI$189+1,$P387),"")</f>
        <v/>
      </c>
      <c r="AJ387" s="334" t="str" cm="1">
        <f t="array" ref="AJ387">IF($C387&lt;&gt;"bitte wählen",INDEX(ListeLebensmittelIFEU,AJ$189+1,$P387),"")</f>
        <v/>
      </c>
      <c r="AK387" s="334" t="str" cm="1">
        <f t="array" ref="AK387">IF($C387&lt;&gt;"bitte wählen",INDEX(ListeLebensmittelIFEU,AK$189+1,$P387),"")</f>
        <v/>
      </c>
      <c r="AL387" s="334" t="str" cm="1">
        <f t="array" ref="AL387">IF($C387&lt;&gt;"bitte wählen",INDEX(ListeLebensmittelIFEU,AL$189+1,$P387),"")</f>
        <v/>
      </c>
      <c r="AM387" s="334" t="str" cm="1">
        <f t="array" ref="AM387">IF($C387&lt;&gt;"bitte wählen",INDEX(ListeLebensmittelIFEU,AM$189+1,$P387),"")</f>
        <v/>
      </c>
      <c r="AN387" s="334" t="str" cm="1">
        <f t="array" ref="AN387">IF($C387&lt;&gt;"bitte wählen",INDEX(ListeLebensmittelIFEU,AN$189+1,$P387),"")</f>
        <v/>
      </c>
      <c r="AO387" s="334" t="str" cm="1">
        <f t="array" ref="AO387">IF($C387&lt;&gt;"bitte wählen",INDEX(ListeLebensmittelIFEU,AO$189+1,$P387),"")</f>
        <v/>
      </c>
      <c r="AP387" s="334" t="str" cm="1">
        <f t="array" ref="AP387">IF($C387&lt;&gt;"bitte wählen",INDEX(ListeLebensmittelIFEU,AP$189+1,$P387),"")</f>
        <v/>
      </c>
      <c r="AQ387" s="334" t="str" cm="1">
        <f t="array" ref="AQ387">IF($C387&lt;&gt;"bitte wählen",INDEX(ListeLebensmittelIFEU,AQ$189+1,$P387),"")</f>
        <v/>
      </c>
      <c r="AR387" s="334" t="str" cm="1">
        <f t="array" ref="AR387">IF($C387&lt;&gt;"bitte wählen",INDEX(ListeLebensmittelIFEU,AR$189+1,$P387),"")</f>
        <v/>
      </c>
      <c r="AS387" s="334" t="str" cm="1">
        <f t="array" ref="AS387">IF($C387&lt;&gt;"bitte wählen",INDEX(ListeLebensmittelIFEU,AS$189+1,$P387),"")</f>
        <v/>
      </c>
      <c r="AT387" s="334" t="str" cm="1">
        <f t="array" ref="AT387">IF($C387&lt;&gt;"bitte wählen",INDEX(ListeLebensmittelIFEU,AT$189+1,$P387),"")</f>
        <v/>
      </c>
      <c r="AU387" s="334" t="str" cm="1">
        <f t="array" ref="AU387">IF($C387&lt;&gt;"bitte wählen",INDEX(ListeLebensmittelIFEU,AU$189+1,$P387),"")</f>
        <v/>
      </c>
      <c r="AV387" s="334" t="str" cm="1">
        <f t="array" ref="AV387">IF($C387&lt;&gt;"bitte wählen",INDEX(ListeLebensmittelIFEU,AV$189+1,$P387),"")</f>
        <v/>
      </c>
      <c r="AW387" s="334" t="str" cm="1">
        <f t="array" ref="AW387">IF($C387&lt;&gt;"bitte wählen",INDEX(ListeLebensmittelIFEU,AW$189+1,$P387),"")</f>
        <v/>
      </c>
      <c r="AX387" s="334" t="str" cm="1">
        <f t="array" ref="AX387">IF($C387&lt;&gt;"bitte wählen",INDEX(ListeLebensmittelIFEU,AX$189+1,$P387),"")</f>
        <v/>
      </c>
      <c r="AY387" s="334" t="str" cm="1">
        <f t="array" ref="AY387">IF($C387&lt;&gt;"bitte wählen",INDEX(ListeLebensmittelIFEU,AY$189+1,$P387),"")</f>
        <v/>
      </c>
      <c r="AZ387" s="335" t="str" cm="1">
        <f t="array" ref="AZ387">IF($C387&lt;&gt;"bitte wählen",INDEX(ListeLebensmittelIFEU,AZ$189+1,$P387),"")</f>
        <v/>
      </c>
    </row>
    <row r="388" spans="1:52" x14ac:dyDescent="0.3">
      <c r="B388" t="s">
        <v>329</v>
      </c>
      <c r="C388" s="471" t="s">
        <v>27</v>
      </c>
      <c r="D388" s="472"/>
      <c r="E388" s="349"/>
      <c r="F388" s="473" t="s">
        <v>12</v>
      </c>
      <c r="G388" s="350" t="str">
        <f t="shared" si="98"/>
        <v/>
      </c>
      <c r="H388" s="293" t="str">
        <f t="shared" si="99"/>
        <v/>
      </c>
      <c r="P388" s="333">
        <f t="shared" si="100"/>
        <v>22</v>
      </c>
      <c r="Q388" s="334" t="e">
        <f t="shared" si="103"/>
        <v>#N/A</v>
      </c>
      <c r="R388" s="359">
        <f t="shared" si="101"/>
        <v>0</v>
      </c>
      <c r="S388" s="380">
        <f t="shared" si="102"/>
        <v>0</v>
      </c>
      <c r="T388" s="333" t="str" cm="1">
        <f t="array" ref="T388">IF($C388&lt;&gt;"bitte wählen",INDEX(ListeLebensmittelIFEU,T$189+1,$P388),"")</f>
        <v/>
      </c>
      <c r="U388" s="334" t="str" cm="1">
        <f t="array" ref="U388">IF($C388&lt;&gt;"bitte wählen",INDEX(ListeLebensmittelIFEU,U$189+1,$P388),"")</f>
        <v/>
      </c>
      <c r="V388" s="334" t="str" cm="1">
        <f t="array" ref="V388">IF($C388&lt;&gt;"bitte wählen",INDEX(ListeLebensmittelIFEU,V$189+1,$P388),"")</f>
        <v/>
      </c>
      <c r="W388" s="334" t="str" cm="1">
        <f t="array" ref="W388">IF($C388&lt;&gt;"bitte wählen",INDEX(ListeLebensmittelIFEU,W$189+1,$P388),"")</f>
        <v/>
      </c>
      <c r="X388" s="334" t="str" cm="1">
        <f t="array" ref="X388">IF($C388&lt;&gt;"bitte wählen",INDEX(ListeLebensmittelIFEU,X$189+1,$P388),"")</f>
        <v/>
      </c>
      <c r="Y388" s="334" t="str" cm="1">
        <f t="array" ref="Y388">IF($C388&lt;&gt;"bitte wählen",INDEX(ListeLebensmittelIFEU,Y$189+1,$P388),"")</f>
        <v/>
      </c>
      <c r="Z388" s="334" t="str" cm="1">
        <f t="array" ref="Z388">IF($C388&lt;&gt;"bitte wählen",INDEX(ListeLebensmittelIFEU,Z$189+1,$P388),"")</f>
        <v/>
      </c>
      <c r="AA388" s="334" t="str" cm="1">
        <f t="array" ref="AA388">IF($C388&lt;&gt;"bitte wählen",INDEX(ListeLebensmittelIFEU,AA$189+1,$P388),"")</f>
        <v/>
      </c>
      <c r="AB388" s="334" t="str" cm="1">
        <f t="array" ref="AB388">IF($C388&lt;&gt;"bitte wählen",INDEX(ListeLebensmittelIFEU,AB$189+1,$P388),"")</f>
        <v/>
      </c>
      <c r="AC388" s="334" t="str" cm="1">
        <f t="array" ref="AC388">IF($C388&lt;&gt;"bitte wählen",INDEX(ListeLebensmittelIFEU,AC$189+1,$P388),"")</f>
        <v/>
      </c>
      <c r="AD388" s="334" t="str" cm="1">
        <f t="array" ref="AD388">IF($C388&lt;&gt;"bitte wählen",INDEX(ListeLebensmittelIFEU,AD$189+1,$P388),"")</f>
        <v/>
      </c>
      <c r="AE388" s="334" t="str" cm="1">
        <f t="array" ref="AE388">IF($C388&lt;&gt;"bitte wählen",INDEX(ListeLebensmittelIFEU,AE$189+1,$P388),"")</f>
        <v/>
      </c>
      <c r="AF388" s="334" t="str" cm="1">
        <f t="array" ref="AF388">IF($C388&lt;&gt;"bitte wählen",INDEX(ListeLebensmittelIFEU,AF$189+1,$P388),"")</f>
        <v/>
      </c>
      <c r="AG388" s="334" t="str" cm="1">
        <f t="array" ref="AG388">IF($C388&lt;&gt;"bitte wählen",INDEX(ListeLebensmittelIFEU,AG$189+1,$P388),"")</f>
        <v/>
      </c>
      <c r="AH388" s="334" t="str" cm="1">
        <f t="array" ref="AH388">IF($C388&lt;&gt;"bitte wählen",INDEX(ListeLebensmittelIFEU,AH$189+1,$P388),"")</f>
        <v/>
      </c>
      <c r="AI388" s="334" t="str" cm="1">
        <f t="array" ref="AI388">IF($C388&lt;&gt;"bitte wählen",INDEX(ListeLebensmittelIFEU,AI$189+1,$P388),"")</f>
        <v/>
      </c>
      <c r="AJ388" s="334" t="str" cm="1">
        <f t="array" ref="AJ388">IF($C388&lt;&gt;"bitte wählen",INDEX(ListeLebensmittelIFEU,AJ$189+1,$P388),"")</f>
        <v/>
      </c>
      <c r="AK388" s="334" t="str" cm="1">
        <f t="array" ref="AK388">IF($C388&lt;&gt;"bitte wählen",INDEX(ListeLebensmittelIFEU,AK$189+1,$P388),"")</f>
        <v/>
      </c>
      <c r="AL388" s="334" t="str" cm="1">
        <f t="array" ref="AL388">IF($C388&lt;&gt;"bitte wählen",INDEX(ListeLebensmittelIFEU,AL$189+1,$P388),"")</f>
        <v/>
      </c>
      <c r="AM388" s="334" t="str" cm="1">
        <f t="array" ref="AM388">IF($C388&lt;&gt;"bitte wählen",INDEX(ListeLebensmittelIFEU,AM$189+1,$P388),"")</f>
        <v/>
      </c>
      <c r="AN388" s="334" t="str" cm="1">
        <f t="array" ref="AN388">IF($C388&lt;&gt;"bitte wählen",INDEX(ListeLebensmittelIFEU,AN$189+1,$P388),"")</f>
        <v/>
      </c>
      <c r="AO388" s="334" t="str" cm="1">
        <f t="array" ref="AO388">IF($C388&lt;&gt;"bitte wählen",INDEX(ListeLebensmittelIFEU,AO$189+1,$P388),"")</f>
        <v/>
      </c>
      <c r="AP388" s="334" t="str" cm="1">
        <f t="array" ref="AP388">IF($C388&lt;&gt;"bitte wählen",INDEX(ListeLebensmittelIFEU,AP$189+1,$P388),"")</f>
        <v/>
      </c>
      <c r="AQ388" s="334" t="str" cm="1">
        <f t="array" ref="AQ388">IF($C388&lt;&gt;"bitte wählen",INDEX(ListeLebensmittelIFEU,AQ$189+1,$P388),"")</f>
        <v/>
      </c>
      <c r="AR388" s="334" t="str" cm="1">
        <f t="array" ref="AR388">IF($C388&lt;&gt;"bitte wählen",INDEX(ListeLebensmittelIFEU,AR$189+1,$P388),"")</f>
        <v/>
      </c>
      <c r="AS388" s="334" t="str" cm="1">
        <f t="array" ref="AS388">IF($C388&lt;&gt;"bitte wählen",INDEX(ListeLebensmittelIFEU,AS$189+1,$P388),"")</f>
        <v/>
      </c>
      <c r="AT388" s="334" t="str" cm="1">
        <f t="array" ref="AT388">IF($C388&lt;&gt;"bitte wählen",INDEX(ListeLebensmittelIFEU,AT$189+1,$P388),"")</f>
        <v/>
      </c>
      <c r="AU388" s="334" t="str" cm="1">
        <f t="array" ref="AU388">IF($C388&lt;&gt;"bitte wählen",INDEX(ListeLebensmittelIFEU,AU$189+1,$P388),"")</f>
        <v/>
      </c>
      <c r="AV388" s="334" t="str" cm="1">
        <f t="array" ref="AV388">IF($C388&lt;&gt;"bitte wählen",INDEX(ListeLebensmittelIFEU,AV$189+1,$P388),"")</f>
        <v/>
      </c>
      <c r="AW388" s="334" t="str" cm="1">
        <f t="array" ref="AW388">IF($C388&lt;&gt;"bitte wählen",INDEX(ListeLebensmittelIFEU,AW$189+1,$P388),"")</f>
        <v/>
      </c>
      <c r="AX388" s="334" t="str" cm="1">
        <f t="array" ref="AX388">IF($C388&lt;&gt;"bitte wählen",INDEX(ListeLebensmittelIFEU,AX$189+1,$P388),"")</f>
        <v/>
      </c>
      <c r="AY388" s="334" t="str" cm="1">
        <f t="array" ref="AY388">IF($C388&lt;&gt;"bitte wählen",INDEX(ListeLebensmittelIFEU,AY$189+1,$P388),"")</f>
        <v/>
      </c>
      <c r="AZ388" s="335" t="str" cm="1">
        <f t="array" ref="AZ388">IF($C388&lt;&gt;"bitte wählen",INDEX(ListeLebensmittelIFEU,AZ$189+1,$P388),"")</f>
        <v/>
      </c>
    </row>
    <row r="389" spans="1:52" x14ac:dyDescent="0.3">
      <c r="B389" t="s">
        <v>330</v>
      </c>
      <c r="C389" s="471" t="s">
        <v>27</v>
      </c>
      <c r="D389" s="472"/>
      <c r="E389" s="349"/>
      <c r="F389" s="473" t="s">
        <v>12</v>
      </c>
      <c r="G389" s="350" t="str">
        <f t="shared" si="98"/>
        <v/>
      </c>
      <c r="H389" s="293" t="str">
        <f t="shared" si="99"/>
        <v/>
      </c>
      <c r="P389" s="333">
        <f t="shared" si="100"/>
        <v>22</v>
      </c>
      <c r="Q389" s="334" t="e">
        <f t="shared" si="103"/>
        <v>#N/A</v>
      </c>
      <c r="R389" s="359">
        <f t="shared" si="101"/>
        <v>0</v>
      </c>
      <c r="S389" s="380">
        <f t="shared" si="102"/>
        <v>0</v>
      </c>
      <c r="T389" s="333" t="str" cm="1">
        <f t="array" ref="T389">IF($C389&lt;&gt;"bitte wählen",INDEX(ListeLebensmittelIFEU,T$189+1,$P389),"")</f>
        <v/>
      </c>
      <c r="U389" s="334" t="str" cm="1">
        <f t="array" ref="U389">IF($C389&lt;&gt;"bitte wählen",INDEX(ListeLebensmittelIFEU,U$189+1,$P389),"")</f>
        <v/>
      </c>
      <c r="V389" s="334" t="str" cm="1">
        <f t="array" ref="V389">IF($C389&lt;&gt;"bitte wählen",INDEX(ListeLebensmittelIFEU,V$189+1,$P389),"")</f>
        <v/>
      </c>
      <c r="W389" s="334" t="str" cm="1">
        <f t="array" ref="W389">IF($C389&lt;&gt;"bitte wählen",INDEX(ListeLebensmittelIFEU,W$189+1,$P389),"")</f>
        <v/>
      </c>
      <c r="X389" s="334" t="str" cm="1">
        <f t="array" ref="X389">IF($C389&lt;&gt;"bitte wählen",INDEX(ListeLebensmittelIFEU,X$189+1,$P389),"")</f>
        <v/>
      </c>
      <c r="Y389" s="334" t="str" cm="1">
        <f t="array" ref="Y389">IF($C389&lt;&gt;"bitte wählen",INDEX(ListeLebensmittelIFEU,Y$189+1,$P389),"")</f>
        <v/>
      </c>
      <c r="Z389" s="334" t="str" cm="1">
        <f t="array" ref="Z389">IF($C389&lt;&gt;"bitte wählen",INDEX(ListeLebensmittelIFEU,Z$189+1,$P389),"")</f>
        <v/>
      </c>
      <c r="AA389" s="334" t="str" cm="1">
        <f t="array" ref="AA389">IF($C389&lt;&gt;"bitte wählen",INDEX(ListeLebensmittelIFEU,AA$189+1,$P389),"")</f>
        <v/>
      </c>
      <c r="AB389" s="334" t="str" cm="1">
        <f t="array" ref="AB389">IF($C389&lt;&gt;"bitte wählen",INDEX(ListeLebensmittelIFEU,AB$189+1,$P389),"")</f>
        <v/>
      </c>
      <c r="AC389" s="334" t="str" cm="1">
        <f t="array" ref="AC389">IF($C389&lt;&gt;"bitte wählen",INDEX(ListeLebensmittelIFEU,AC$189+1,$P389),"")</f>
        <v/>
      </c>
      <c r="AD389" s="334" t="str" cm="1">
        <f t="array" ref="AD389">IF($C389&lt;&gt;"bitte wählen",INDEX(ListeLebensmittelIFEU,AD$189+1,$P389),"")</f>
        <v/>
      </c>
      <c r="AE389" s="334" t="str" cm="1">
        <f t="array" ref="AE389">IF($C389&lt;&gt;"bitte wählen",INDEX(ListeLebensmittelIFEU,AE$189+1,$P389),"")</f>
        <v/>
      </c>
      <c r="AF389" s="334" t="str" cm="1">
        <f t="array" ref="AF389">IF($C389&lt;&gt;"bitte wählen",INDEX(ListeLebensmittelIFEU,AF$189+1,$P389),"")</f>
        <v/>
      </c>
      <c r="AG389" s="334" t="str" cm="1">
        <f t="array" ref="AG389">IF($C389&lt;&gt;"bitte wählen",INDEX(ListeLebensmittelIFEU,AG$189+1,$P389),"")</f>
        <v/>
      </c>
      <c r="AH389" s="334" t="str" cm="1">
        <f t="array" ref="AH389">IF($C389&lt;&gt;"bitte wählen",INDEX(ListeLebensmittelIFEU,AH$189+1,$P389),"")</f>
        <v/>
      </c>
      <c r="AI389" s="334" t="str" cm="1">
        <f t="array" ref="AI389">IF($C389&lt;&gt;"bitte wählen",INDEX(ListeLebensmittelIFEU,AI$189+1,$P389),"")</f>
        <v/>
      </c>
      <c r="AJ389" s="334" t="str" cm="1">
        <f t="array" ref="AJ389">IF($C389&lt;&gt;"bitte wählen",INDEX(ListeLebensmittelIFEU,AJ$189+1,$P389),"")</f>
        <v/>
      </c>
      <c r="AK389" s="334" t="str" cm="1">
        <f t="array" ref="AK389">IF($C389&lt;&gt;"bitte wählen",INDEX(ListeLebensmittelIFEU,AK$189+1,$P389),"")</f>
        <v/>
      </c>
      <c r="AL389" s="334" t="str" cm="1">
        <f t="array" ref="AL389">IF($C389&lt;&gt;"bitte wählen",INDEX(ListeLebensmittelIFEU,AL$189+1,$P389),"")</f>
        <v/>
      </c>
      <c r="AM389" s="334" t="str" cm="1">
        <f t="array" ref="AM389">IF($C389&lt;&gt;"bitte wählen",INDEX(ListeLebensmittelIFEU,AM$189+1,$P389),"")</f>
        <v/>
      </c>
      <c r="AN389" s="334" t="str" cm="1">
        <f t="array" ref="AN389">IF($C389&lt;&gt;"bitte wählen",INDEX(ListeLebensmittelIFEU,AN$189+1,$P389),"")</f>
        <v/>
      </c>
      <c r="AO389" s="334" t="str" cm="1">
        <f t="array" ref="AO389">IF($C389&lt;&gt;"bitte wählen",INDEX(ListeLebensmittelIFEU,AO$189+1,$P389),"")</f>
        <v/>
      </c>
      <c r="AP389" s="334" t="str" cm="1">
        <f t="array" ref="AP389">IF($C389&lt;&gt;"bitte wählen",INDEX(ListeLebensmittelIFEU,AP$189+1,$P389),"")</f>
        <v/>
      </c>
      <c r="AQ389" s="334" t="str" cm="1">
        <f t="array" ref="AQ389">IF($C389&lt;&gt;"bitte wählen",INDEX(ListeLebensmittelIFEU,AQ$189+1,$P389),"")</f>
        <v/>
      </c>
      <c r="AR389" s="334" t="str" cm="1">
        <f t="array" ref="AR389">IF($C389&lt;&gt;"bitte wählen",INDEX(ListeLebensmittelIFEU,AR$189+1,$P389),"")</f>
        <v/>
      </c>
      <c r="AS389" s="334" t="str" cm="1">
        <f t="array" ref="AS389">IF($C389&lt;&gt;"bitte wählen",INDEX(ListeLebensmittelIFEU,AS$189+1,$P389),"")</f>
        <v/>
      </c>
      <c r="AT389" s="334" t="str" cm="1">
        <f t="array" ref="AT389">IF($C389&lt;&gt;"bitte wählen",INDEX(ListeLebensmittelIFEU,AT$189+1,$P389),"")</f>
        <v/>
      </c>
      <c r="AU389" s="334" t="str" cm="1">
        <f t="array" ref="AU389">IF($C389&lt;&gt;"bitte wählen",INDEX(ListeLebensmittelIFEU,AU$189+1,$P389),"")</f>
        <v/>
      </c>
      <c r="AV389" s="334" t="str" cm="1">
        <f t="array" ref="AV389">IF($C389&lt;&gt;"bitte wählen",INDEX(ListeLebensmittelIFEU,AV$189+1,$P389),"")</f>
        <v/>
      </c>
      <c r="AW389" s="334" t="str" cm="1">
        <f t="array" ref="AW389">IF($C389&lt;&gt;"bitte wählen",INDEX(ListeLebensmittelIFEU,AW$189+1,$P389),"")</f>
        <v/>
      </c>
      <c r="AX389" s="334" t="str" cm="1">
        <f t="array" ref="AX389">IF($C389&lt;&gt;"bitte wählen",INDEX(ListeLebensmittelIFEU,AX$189+1,$P389),"")</f>
        <v/>
      </c>
      <c r="AY389" s="334" t="str" cm="1">
        <f t="array" ref="AY389">IF($C389&lt;&gt;"bitte wählen",INDEX(ListeLebensmittelIFEU,AY$189+1,$P389),"")</f>
        <v/>
      </c>
      <c r="AZ389" s="335" t="str" cm="1">
        <f t="array" ref="AZ389">IF($C389&lt;&gt;"bitte wählen",INDEX(ListeLebensmittelIFEU,AZ$189+1,$P389),"")</f>
        <v/>
      </c>
    </row>
    <row r="390" spans="1:52" x14ac:dyDescent="0.3">
      <c r="B390" t="s">
        <v>398</v>
      </c>
      <c r="C390" s="471" t="s">
        <v>27</v>
      </c>
      <c r="D390" s="472"/>
      <c r="E390" s="349"/>
      <c r="F390" s="473" t="s">
        <v>12</v>
      </c>
      <c r="G390" s="350" t="str">
        <f t="shared" si="98"/>
        <v/>
      </c>
      <c r="H390" s="293" t="str">
        <f t="shared" si="99"/>
        <v/>
      </c>
      <c r="P390" s="336">
        <f t="shared" si="100"/>
        <v>22</v>
      </c>
      <c r="Q390" s="337" t="e">
        <f t="shared" si="103"/>
        <v>#N/A</v>
      </c>
      <c r="R390" s="360">
        <f t="shared" si="101"/>
        <v>0</v>
      </c>
      <c r="S390" s="381">
        <f t="shared" si="102"/>
        <v>0</v>
      </c>
      <c r="T390" s="336" t="str" cm="1">
        <f t="array" ref="T390">IF($C390&lt;&gt;"bitte wählen",INDEX(ListeLebensmittelIFEU,T$189+1,$P390),"")</f>
        <v/>
      </c>
      <c r="U390" s="337" t="str" cm="1">
        <f t="array" ref="U390">IF($C390&lt;&gt;"bitte wählen",INDEX(ListeLebensmittelIFEU,U$189+1,$P390),"")</f>
        <v/>
      </c>
      <c r="V390" s="337" t="str" cm="1">
        <f t="array" ref="V390">IF($C390&lt;&gt;"bitte wählen",INDEX(ListeLebensmittelIFEU,V$189+1,$P390),"")</f>
        <v/>
      </c>
      <c r="W390" s="337" t="str" cm="1">
        <f t="array" ref="W390">IF($C390&lt;&gt;"bitte wählen",INDEX(ListeLebensmittelIFEU,W$189+1,$P390),"")</f>
        <v/>
      </c>
      <c r="X390" s="337" t="str" cm="1">
        <f t="array" ref="X390">IF($C390&lt;&gt;"bitte wählen",INDEX(ListeLebensmittelIFEU,X$189+1,$P390),"")</f>
        <v/>
      </c>
      <c r="Y390" s="337" t="str" cm="1">
        <f t="array" ref="Y390">IF($C390&lt;&gt;"bitte wählen",INDEX(ListeLebensmittelIFEU,Y$189+1,$P390),"")</f>
        <v/>
      </c>
      <c r="Z390" s="337" t="str" cm="1">
        <f t="array" ref="Z390">IF($C390&lt;&gt;"bitte wählen",INDEX(ListeLebensmittelIFEU,Z$189+1,$P390),"")</f>
        <v/>
      </c>
      <c r="AA390" s="337" t="str" cm="1">
        <f t="array" ref="AA390">IF($C390&lt;&gt;"bitte wählen",INDEX(ListeLebensmittelIFEU,AA$189+1,$P390),"")</f>
        <v/>
      </c>
      <c r="AB390" s="337" t="str" cm="1">
        <f t="array" ref="AB390">IF($C390&lt;&gt;"bitte wählen",INDEX(ListeLebensmittelIFEU,AB$189+1,$P390),"")</f>
        <v/>
      </c>
      <c r="AC390" s="337" t="str" cm="1">
        <f t="array" ref="AC390">IF($C390&lt;&gt;"bitte wählen",INDEX(ListeLebensmittelIFEU,AC$189+1,$P390),"")</f>
        <v/>
      </c>
      <c r="AD390" s="337" t="str" cm="1">
        <f t="array" ref="AD390">IF($C390&lt;&gt;"bitte wählen",INDEX(ListeLebensmittelIFEU,AD$189+1,$P390),"")</f>
        <v/>
      </c>
      <c r="AE390" s="337" t="str" cm="1">
        <f t="array" ref="AE390">IF($C390&lt;&gt;"bitte wählen",INDEX(ListeLebensmittelIFEU,AE$189+1,$P390),"")</f>
        <v/>
      </c>
      <c r="AF390" s="337" t="str" cm="1">
        <f t="array" ref="AF390">IF($C390&lt;&gt;"bitte wählen",INDEX(ListeLebensmittelIFEU,AF$189+1,$P390),"")</f>
        <v/>
      </c>
      <c r="AG390" s="337" t="str" cm="1">
        <f t="array" ref="AG390">IF($C390&lt;&gt;"bitte wählen",INDEX(ListeLebensmittelIFEU,AG$189+1,$P390),"")</f>
        <v/>
      </c>
      <c r="AH390" s="337" t="str" cm="1">
        <f t="array" ref="AH390">IF($C390&lt;&gt;"bitte wählen",INDEX(ListeLebensmittelIFEU,AH$189+1,$P390),"")</f>
        <v/>
      </c>
      <c r="AI390" s="337" t="str" cm="1">
        <f t="array" ref="AI390">IF($C390&lt;&gt;"bitte wählen",INDEX(ListeLebensmittelIFEU,AI$189+1,$P390),"")</f>
        <v/>
      </c>
      <c r="AJ390" s="337" t="str" cm="1">
        <f t="array" ref="AJ390">IF($C390&lt;&gt;"bitte wählen",INDEX(ListeLebensmittelIFEU,AJ$189+1,$P390),"")</f>
        <v/>
      </c>
      <c r="AK390" s="337" t="str" cm="1">
        <f t="array" ref="AK390">IF($C390&lt;&gt;"bitte wählen",INDEX(ListeLebensmittelIFEU,AK$189+1,$P390),"")</f>
        <v/>
      </c>
      <c r="AL390" s="337" t="str" cm="1">
        <f t="array" ref="AL390">IF($C390&lt;&gt;"bitte wählen",INDEX(ListeLebensmittelIFEU,AL$189+1,$P390),"")</f>
        <v/>
      </c>
      <c r="AM390" s="337" t="str" cm="1">
        <f t="array" ref="AM390">IF($C390&lt;&gt;"bitte wählen",INDEX(ListeLebensmittelIFEU,AM$189+1,$P390),"")</f>
        <v/>
      </c>
      <c r="AN390" s="337" t="str" cm="1">
        <f t="array" ref="AN390">IF($C390&lt;&gt;"bitte wählen",INDEX(ListeLebensmittelIFEU,AN$189+1,$P390),"")</f>
        <v/>
      </c>
      <c r="AO390" s="337" t="str" cm="1">
        <f t="array" ref="AO390">IF($C390&lt;&gt;"bitte wählen",INDEX(ListeLebensmittelIFEU,AO$189+1,$P390),"")</f>
        <v/>
      </c>
      <c r="AP390" s="337" t="str" cm="1">
        <f t="array" ref="AP390">IF($C390&lt;&gt;"bitte wählen",INDEX(ListeLebensmittelIFEU,AP$189+1,$P390),"")</f>
        <v/>
      </c>
      <c r="AQ390" s="337" t="str" cm="1">
        <f t="array" ref="AQ390">IF($C390&lt;&gt;"bitte wählen",INDEX(ListeLebensmittelIFEU,AQ$189+1,$P390),"")</f>
        <v/>
      </c>
      <c r="AR390" s="337" t="str" cm="1">
        <f t="array" ref="AR390">IF($C390&lt;&gt;"bitte wählen",INDEX(ListeLebensmittelIFEU,AR$189+1,$P390),"")</f>
        <v/>
      </c>
      <c r="AS390" s="337" t="str" cm="1">
        <f t="array" ref="AS390">IF($C390&lt;&gt;"bitte wählen",INDEX(ListeLebensmittelIFEU,AS$189+1,$P390),"")</f>
        <v/>
      </c>
      <c r="AT390" s="337" t="str" cm="1">
        <f t="array" ref="AT390">IF($C390&lt;&gt;"bitte wählen",INDEX(ListeLebensmittelIFEU,AT$189+1,$P390),"")</f>
        <v/>
      </c>
      <c r="AU390" s="337" t="str" cm="1">
        <f t="array" ref="AU390">IF($C390&lt;&gt;"bitte wählen",INDEX(ListeLebensmittelIFEU,AU$189+1,$P390),"")</f>
        <v/>
      </c>
      <c r="AV390" s="337" t="str" cm="1">
        <f t="array" ref="AV390">IF($C390&lt;&gt;"bitte wählen",INDEX(ListeLebensmittelIFEU,AV$189+1,$P390),"")</f>
        <v/>
      </c>
      <c r="AW390" s="337" t="str" cm="1">
        <f t="array" ref="AW390">IF($C390&lt;&gt;"bitte wählen",INDEX(ListeLebensmittelIFEU,AW$189+1,$P390),"")</f>
        <v/>
      </c>
      <c r="AX390" s="337" t="str" cm="1">
        <f t="array" ref="AX390">IF($C390&lt;&gt;"bitte wählen",INDEX(ListeLebensmittelIFEU,AX$189+1,$P390),"")</f>
        <v/>
      </c>
      <c r="AY390" s="337" t="str" cm="1">
        <f t="array" ref="AY390">IF($C390&lt;&gt;"bitte wählen",INDEX(ListeLebensmittelIFEU,AY$189+1,$P390),"")</f>
        <v/>
      </c>
      <c r="AZ390" s="338" t="str" cm="1">
        <f t="array" ref="AZ390">IF($C390&lt;&gt;"bitte wählen",INDEX(ListeLebensmittelIFEU,AZ$189+1,$P390),"")</f>
        <v/>
      </c>
    </row>
    <row r="391" spans="1:52" x14ac:dyDescent="0.3">
      <c r="B391" s="105" t="str">
        <f>IF(R391,IF(E391/IF(D383="",1,D383)&lt;GewichtMittagessenMin,"Hinweis: Dies scheint eine relativ kleine Portion zu sein",IF(E391/IF(D383="",1,D383)&gt;GewichtMittagessenMax,"Hinweis: Dies scheint eine relativ große Portion zu sein","")),"")</f>
        <v/>
      </c>
      <c r="C391" s="78"/>
      <c r="D391" s="78"/>
      <c r="E391" s="355">
        <f>SUM(E385:E390)-SUMIF(C385:C390,"Getränke",E385:E390)</f>
        <v>0</v>
      </c>
      <c r="G391" s="15" t="s">
        <v>622</v>
      </c>
      <c r="H391" s="293">
        <f>SUM(H385:H390)</f>
        <v>0</v>
      </c>
      <c r="Q391" s="383" t="s">
        <v>1030</v>
      </c>
      <c r="R391" s="386" t="b">
        <f>IF(SUM(R385:R390)&gt;0,TRUE,FALSE)</f>
        <v>0</v>
      </c>
      <c r="S391" s="383">
        <f>SUM(S385:S390)</f>
        <v>0</v>
      </c>
      <c r="T391" s="383" t="s">
        <v>1029</v>
      </c>
      <c r="U391" s="383" t="str">
        <f>IF(R391,IF(S391&gt;9,10,IF(S391&gt;0,1,0)),"")</f>
        <v/>
      </c>
    </row>
    <row r="392" spans="1:52" x14ac:dyDescent="0.3">
      <c r="B392" s="385" t="str">
        <f>IF(U391=0,"🌱 vegan","")</f>
        <v/>
      </c>
      <c r="C392" s="105" t="str">
        <f>IF(U391=1,"Ⓥ vegetarisch","")</f>
        <v/>
      </c>
      <c r="D392" s="384" t="str">
        <f>IF(U391=10,"🥩 mit Fleisch/Fisch","")</f>
        <v/>
      </c>
      <c r="E392" s="78"/>
      <c r="G392" s="15" t="s">
        <v>623</v>
      </c>
      <c r="H392" s="294">
        <f>IF(D383="",H391,H391/D383)</f>
        <v>0</v>
      </c>
    </row>
    <row r="393" spans="1:52" x14ac:dyDescent="0.3">
      <c r="C393" s="78"/>
      <c r="D393" s="78"/>
      <c r="E393" s="78"/>
      <c r="G393" s="15"/>
      <c r="H393" s="15"/>
    </row>
    <row r="394" spans="1:52" ht="18" thickBot="1" x14ac:dyDescent="0.4">
      <c r="B394" s="496" t="str">
        <f>"CO₂-Bilanz Gericht 17: "&amp;D395</f>
        <v>CO₂-Bilanz Gericht 17: Menü 17</v>
      </c>
      <c r="C394" s="496"/>
      <c r="D394" s="496"/>
      <c r="E394" s="496"/>
      <c r="T394" s="84"/>
    </row>
    <row r="395" spans="1:52" ht="15" thickTop="1" x14ac:dyDescent="0.3">
      <c r="B395" t="s">
        <v>994</v>
      </c>
      <c r="D395" s="288" t="s">
        <v>1019</v>
      </c>
      <c r="F395" s="78"/>
      <c r="G395" s="78"/>
      <c r="H395" s="78"/>
      <c r="I395" s="78"/>
    </row>
    <row r="396" spans="1:52" x14ac:dyDescent="0.3">
      <c r="B396" t="s">
        <v>995</v>
      </c>
      <c r="C396" s="78"/>
      <c r="D396" s="291">
        <v>1</v>
      </c>
      <c r="E396" s="301" t="str">
        <f>IF(ISNUMBER(FIND("g",_xlfn.CONCAT(E398:E403))),"Bitte Menge als reine Zahl ohne Zusatz g eingeben","")</f>
        <v/>
      </c>
      <c r="G396" s="78"/>
      <c r="H396" s="78"/>
      <c r="T396" s="329" t="s">
        <v>918</v>
      </c>
      <c r="U396" s="330"/>
      <c r="V396" s="330"/>
      <c r="W396" s="330"/>
      <c r="X396" s="330"/>
      <c r="Y396" s="330"/>
    </row>
    <row r="397" spans="1:52" ht="44.4" x14ac:dyDescent="0.35">
      <c r="A397" s="376" t="s">
        <v>1217</v>
      </c>
      <c r="C397" s="297" t="s">
        <v>993</v>
      </c>
      <c r="D397" s="313" t="s">
        <v>992</v>
      </c>
      <c r="E397" s="298" t="s">
        <v>323</v>
      </c>
      <c r="F397" s="298" t="s">
        <v>324</v>
      </c>
      <c r="G397" s="296" t="s">
        <v>534</v>
      </c>
      <c r="H397" s="296" t="s">
        <v>535</v>
      </c>
      <c r="P397" s="356" t="s">
        <v>956</v>
      </c>
      <c r="Q397" s="356" t="s">
        <v>957</v>
      </c>
      <c r="R397" s="357" t="s">
        <v>958</v>
      </c>
      <c r="S397" s="357" t="s">
        <v>1028</v>
      </c>
      <c r="T397" s="361">
        <v>1</v>
      </c>
      <c r="U397" s="362">
        <v>2</v>
      </c>
      <c r="V397" s="362">
        <v>3</v>
      </c>
      <c r="W397" s="362">
        <v>4</v>
      </c>
      <c r="X397" s="362">
        <v>5</v>
      </c>
      <c r="Y397" s="362">
        <v>6</v>
      </c>
      <c r="Z397" s="362">
        <v>7</v>
      </c>
      <c r="AA397" s="362">
        <v>8</v>
      </c>
      <c r="AB397" s="362">
        <v>9</v>
      </c>
      <c r="AC397" s="362">
        <v>10</v>
      </c>
      <c r="AD397" s="362">
        <v>11</v>
      </c>
      <c r="AE397" s="362">
        <v>12</v>
      </c>
      <c r="AF397" s="362">
        <v>13</v>
      </c>
      <c r="AG397" s="362">
        <v>14</v>
      </c>
      <c r="AH397" s="362">
        <v>15</v>
      </c>
      <c r="AI397" s="362">
        <v>16</v>
      </c>
      <c r="AJ397" s="362">
        <v>17</v>
      </c>
      <c r="AK397" s="362">
        <v>18</v>
      </c>
      <c r="AL397" s="362">
        <v>19</v>
      </c>
      <c r="AM397" s="362">
        <v>20</v>
      </c>
      <c r="AN397" s="362">
        <v>21</v>
      </c>
      <c r="AO397" s="362">
        <v>22</v>
      </c>
      <c r="AP397" s="362">
        <v>23</v>
      </c>
      <c r="AQ397" s="362">
        <v>24</v>
      </c>
      <c r="AR397" s="362">
        <v>25</v>
      </c>
      <c r="AS397" s="362">
        <v>26</v>
      </c>
      <c r="AT397" s="362">
        <v>27</v>
      </c>
      <c r="AU397" s="362">
        <v>28</v>
      </c>
      <c r="AV397" s="362">
        <v>29</v>
      </c>
      <c r="AW397" s="362">
        <v>30</v>
      </c>
      <c r="AX397" s="362">
        <v>31</v>
      </c>
      <c r="AY397" s="362">
        <v>32</v>
      </c>
      <c r="AZ397" s="363">
        <v>33</v>
      </c>
    </row>
    <row r="398" spans="1:52" x14ac:dyDescent="0.3">
      <c r="B398" t="s">
        <v>13</v>
      </c>
      <c r="C398" s="471" t="s">
        <v>27</v>
      </c>
      <c r="D398" s="472"/>
      <c r="E398" s="470"/>
      <c r="F398" s="473" t="s">
        <v>12</v>
      </c>
      <c r="G398" s="350" t="str">
        <f t="shared" ref="G398:G403" si="104">IF(D398="","",R398*IF(F398="Ja",FaktorBeiLokalemProdukt,1))</f>
        <v/>
      </c>
      <c r="H398" s="293" t="str">
        <f t="shared" ref="H398:H403" si="105">IF(D398="","",E398*G398)</f>
        <v/>
      </c>
      <c r="P398" s="331">
        <f t="shared" ref="P398:P403" si="106">VLOOKUP(C398,$C$457:$D$464,2,FALSE)</f>
        <v>22</v>
      </c>
      <c r="Q398" s="332" t="e">
        <f>MATCH(D398,T398:AZ398,0)</f>
        <v>#N/A</v>
      </c>
      <c r="R398" s="358">
        <f t="shared" ref="R398:R403" si="107">_xlfn.IFNA(IF(D398&lt;&gt;"",VLOOKUP(D398,$C$544:$E$774,2,FALSE),0),0)</f>
        <v>0</v>
      </c>
      <c r="S398" s="358">
        <f t="shared" ref="S398:S403" si="108">_xlfn.IFNA(IF(D398&lt;&gt;"",VLOOKUP(D398,$C$544:$E$774,3,FALSE),0),0)</f>
        <v>0</v>
      </c>
      <c r="T398" s="333" t="str" cm="1">
        <f t="array" ref="T398">IF($C398&lt;&gt;"bitte wählen",INDEX(ListeLebensmittelIFEU,T$189+1,$P398),"")</f>
        <v/>
      </c>
      <c r="U398" s="334" t="str" cm="1">
        <f t="array" ref="U398">IF($C398&lt;&gt;"bitte wählen",INDEX(ListeLebensmittelIFEU,U$189+1,$P398),"")</f>
        <v/>
      </c>
      <c r="V398" s="334" t="str" cm="1">
        <f t="array" ref="V398">IF($C398&lt;&gt;"bitte wählen",INDEX(ListeLebensmittelIFEU,V$189+1,$P398),"")</f>
        <v/>
      </c>
      <c r="W398" s="334" t="str" cm="1">
        <f t="array" ref="W398">IF($C398&lt;&gt;"bitte wählen",INDEX(ListeLebensmittelIFEU,W$189+1,$P398),"")</f>
        <v/>
      </c>
      <c r="X398" s="334" t="str" cm="1">
        <f t="array" ref="X398">IF($C398&lt;&gt;"bitte wählen",INDEX(ListeLebensmittelIFEU,X$189+1,$P398),"")</f>
        <v/>
      </c>
      <c r="Y398" s="334" t="str" cm="1">
        <f t="array" ref="Y398">IF($C398&lt;&gt;"bitte wählen",INDEX(ListeLebensmittelIFEU,Y$189+1,$P398),"")</f>
        <v/>
      </c>
      <c r="Z398" s="334" t="str" cm="1">
        <f t="array" ref="Z398">IF($C398&lt;&gt;"bitte wählen",INDEX(ListeLebensmittelIFEU,Z$189+1,$P398),"")</f>
        <v/>
      </c>
      <c r="AA398" s="334" t="str" cm="1">
        <f t="array" ref="AA398">IF($C398&lt;&gt;"bitte wählen",INDEX(ListeLebensmittelIFEU,AA$189+1,$P398),"")</f>
        <v/>
      </c>
      <c r="AB398" s="334" t="str" cm="1">
        <f t="array" ref="AB398">IF($C398&lt;&gt;"bitte wählen",INDEX(ListeLebensmittelIFEU,AB$189+1,$P398),"")</f>
        <v/>
      </c>
      <c r="AC398" s="334" t="str" cm="1">
        <f t="array" ref="AC398">IF($C398&lt;&gt;"bitte wählen",INDEX(ListeLebensmittelIFEU,AC$189+1,$P398),"")</f>
        <v/>
      </c>
      <c r="AD398" s="334" t="str" cm="1">
        <f t="array" ref="AD398">IF($C398&lt;&gt;"bitte wählen",INDEX(ListeLebensmittelIFEU,AD$189+1,$P398),"")</f>
        <v/>
      </c>
      <c r="AE398" s="334" t="str" cm="1">
        <f t="array" ref="AE398">IF($C398&lt;&gt;"bitte wählen",INDEX(ListeLebensmittelIFEU,AE$189+1,$P398),"")</f>
        <v/>
      </c>
      <c r="AF398" s="334" t="str" cm="1">
        <f t="array" ref="AF398">IF($C398&lt;&gt;"bitte wählen",INDEX(ListeLebensmittelIFEU,AF$189+1,$P398),"")</f>
        <v/>
      </c>
      <c r="AG398" s="334" t="str" cm="1">
        <f t="array" ref="AG398">IF($C398&lt;&gt;"bitte wählen",INDEX(ListeLebensmittelIFEU,AG$189+1,$P398),"")</f>
        <v/>
      </c>
      <c r="AH398" s="334" t="str" cm="1">
        <f t="array" ref="AH398">IF($C398&lt;&gt;"bitte wählen",INDEX(ListeLebensmittelIFEU,AH$189+1,$P398),"")</f>
        <v/>
      </c>
      <c r="AI398" s="334" t="str" cm="1">
        <f t="array" ref="AI398">IF($C398&lt;&gt;"bitte wählen",INDEX(ListeLebensmittelIFEU,AI$189+1,$P398),"")</f>
        <v/>
      </c>
      <c r="AJ398" s="334" t="str" cm="1">
        <f t="array" ref="AJ398">IF($C398&lt;&gt;"bitte wählen",INDEX(ListeLebensmittelIFEU,AJ$189+1,$P398),"")</f>
        <v/>
      </c>
      <c r="AK398" s="334" t="str" cm="1">
        <f t="array" ref="AK398">IF($C398&lt;&gt;"bitte wählen",INDEX(ListeLebensmittelIFEU,AK$189+1,$P398),"")</f>
        <v/>
      </c>
      <c r="AL398" s="334" t="str" cm="1">
        <f t="array" ref="AL398">IF($C398&lt;&gt;"bitte wählen",INDEX(ListeLebensmittelIFEU,AL$189+1,$P398),"")</f>
        <v/>
      </c>
      <c r="AM398" s="334" t="str" cm="1">
        <f t="array" ref="AM398">IF($C398&lt;&gt;"bitte wählen",INDEX(ListeLebensmittelIFEU,AM$189+1,$P398),"")</f>
        <v/>
      </c>
      <c r="AN398" s="334" t="str" cm="1">
        <f t="array" ref="AN398">IF($C398&lt;&gt;"bitte wählen",INDEX(ListeLebensmittelIFEU,AN$189+1,$P398),"")</f>
        <v/>
      </c>
      <c r="AO398" s="334" t="str" cm="1">
        <f t="array" ref="AO398">IF($C398&lt;&gt;"bitte wählen",INDEX(ListeLebensmittelIFEU,AO$189+1,$P398),"")</f>
        <v/>
      </c>
      <c r="AP398" s="334" t="str" cm="1">
        <f t="array" ref="AP398">IF($C398&lt;&gt;"bitte wählen",INDEX(ListeLebensmittelIFEU,AP$189+1,$P398),"")</f>
        <v/>
      </c>
      <c r="AQ398" s="334" t="str" cm="1">
        <f t="array" ref="AQ398">IF($C398&lt;&gt;"bitte wählen",INDEX(ListeLebensmittelIFEU,AQ$189+1,$P398),"")</f>
        <v/>
      </c>
      <c r="AR398" s="334" t="str" cm="1">
        <f t="array" ref="AR398">IF($C398&lt;&gt;"bitte wählen",INDEX(ListeLebensmittelIFEU,AR$189+1,$P398),"")</f>
        <v/>
      </c>
      <c r="AS398" s="334" t="str" cm="1">
        <f t="array" ref="AS398">IF($C398&lt;&gt;"bitte wählen",INDEX(ListeLebensmittelIFEU,AS$189+1,$P398),"")</f>
        <v/>
      </c>
      <c r="AT398" s="334" t="str" cm="1">
        <f t="array" ref="AT398">IF($C398&lt;&gt;"bitte wählen",INDEX(ListeLebensmittelIFEU,AT$189+1,$P398),"")</f>
        <v/>
      </c>
      <c r="AU398" s="334" t="str" cm="1">
        <f t="array" ref="AU398">IF($C398&lt;&gt;"bitte wählen",INDEX(ListeLebensmittelIFEU,AU$189+1,$P398),"")</f>
        <v/>
      </c>
      <c r="AV398" s="334" t="str" cm="1">
        <f t="array" ref="AV398">IF($C398&lt;&gt;"bitte wählen",INDEX(ListeLebensmittelIFEU,AV$189+1,$P398),"")</f>
        <v/>
      </c>
      <c r="AW398" s="334" t="str" cm="1">
        <f t="array" ref="AW398">IF($C398&lt;&gt;"bitte wählen",INDEX(ListeLebensmittelIFEU,AW$189+1,$P398),"")</f>
        <v/>
      </c>
      <c r="AX398" s="334" t="str" cm="1">
        <f t="array" ref="AX398">IF($C398&lt;&gt;"bitte wählen",INDEX(ListeLebensmittelIFEU,AX$189+1,$P398),"")</f>
        <v/>
      </c>
      <c r="AY398" s="334" t="str" cm="1">
        <f t="array" ref="AY398">IF($C398&lt;&gt;"bitte wählen",INDEX(ListeLebensmittelIFEU,AY$189+1,$P398),"")</f>
        <v/>
      </c>
      <c r="AZ398" s="335" t="str" cm="1">
        <f t="array" ref="AZ398">IF($C398&lt;&gt;"bitte wählen",INDEX(ListeLebensmittelIFEU,AZ$189+1,$P398),"")</f>
        <v/>
      </c>
    </row>
    <row r="399" spans="1:52" x14ac:dyDescent="0.3">
      <c r="B399" t="s">
        <v>327</v>
      </c>
      <c r="C399" s="471" t="s">
        <v>27</v>
      </c>
      <c r="D399" s="472"/>
      <c r="E399" s="349"/>
      <c r="F399" s="473" t="s">
        <v>12</v>
      </c>
      <c r="G399" s="350" t="str">
        <f t="shared" si="104"/>
        <v/>
      </c>
      <c r="H399" s="293" t="str">
        <f t="shared" si="105"/>
        <v/>
      </c>
      <c r="P399" s="333">
        <f t="shared" si="106"/>
        <v>22</v>
      </c>
      <c r="Q399" s="334" t="e">
        <f t="shared" ref="Q399:Q403" si="109">MATCH(D399,T399:AZ399,0)</f>
        <v>#N/A</v>
      </c>
      <c r="R399" s="359">
        <f t="shared" si="107"/>
        <v>0</v>
      </c>
      <c r="S399" s="380">
        <f t="shared" si="108"/>
        <v>0</v>
      </c>
      <c r="T399" s="333" t="str" cm="1">
        <f t="array" ref="T399">IF($C399&lt;&gt;"bitte wählen",INDEX(ListeLebensmittelIFEU,T$189+1,$P399),"")</f>
        <v/>
      </c>
      <c r="U399" s="334" t="str" cm="1">
        <f t="array" ref="U399">IF($C399&lt;&gt;"bitte wählen",INDEX(ListeLebensmittelIFEU,U$189+1,$P399),"")</f>
        <v/>
      </c>
      <c r="V399" s="334" t="str" cm="1">
        <f t="array" ref="V399">IF($C399&lt;&gt;"bitte wählen",INDEX(ListeLebensmittelIFEU,V$189+1,$P399),"")</f>
        <v/>
      </c>
      <c r="W399" s="334" t="str" cm="1">
        <f t="array" ref="W399">IF($C399&lt;&gt;"bitte wählen",INDEX(ListeLebensmittelIFEU,W$189+1,$P399),"")</f>
        <v/>
      </c>
      <c r="X399" s="334" t="str" cm="1">
        <f t="array" ref="X399">IF($C399&lt;&gt;"bitte wählen",INDEX(ListeLebensmittelIFEU,X$189+1,$P399),"")</f>
        <v/>
      </c>
      <c r="Y399" s="334" t="str" cm="1">
        <f t="array" ref="Y399">IF($C399&lt;&gt;"bitte wählen",INDEX(ListeLebensmittelIFEU,Y$189+1,$P399),"")</f>
        <v/>
      </c>
      <c r="Z399" s="334" t="str" cm="1">
        <f t="array" ref="Z399">IF($C399&lt;&gt;"bitte wählen",INDEX(ListeLebensmittelIFEU,Z$189+1,$P399),"")</f>
        <v/>
      </c>
      <c r="AA399" s="334" t="str" cm="1">
        <f t="array" ref="AA399">IF($C399&lt;&gt;"bitte wählen",INDEX(ListeLebensmittelIFEU,AA$189+1,$P399),"")</f>
        <v/>
      </c>
      <c r="AB399" s="334" t="str" cm="1">
        <f t="array" ref="AB399">IF($C399&lt;&gt;"bitte wählen",INDEX(ListeLebensmittelIFEU,AB$189+1,$P399),"")</f>
        <v/>
      </c>
      <c r="AC399" s="334" t="str" cm="1">
        <f t="array" ref="AC399">IF($C399&lt;&gt;"bitte wählen",INDEX(ListeLebensmittelIFEU,AC$189+1,$P399),"")</f>
        <v/>
      </c>
      <c r="AD399" s="334" t="str" cm="1">
        <f t="array" ref="AD399">IF($C399&lt;&gt;"bitte wählen",INDEX(ListeLebensmittelIFEU,AD$189+1,$P399),"")</f>
        <v/>
      </c>
      <c r="AE399" s="334" t="str" cm="1">
        <f t="array" ref="AE399">IF($C399&lt;&gt;"bitte wählen",INDEX(ListeLebensmittelIFEU,AE$189+1,$P399),"")</f>
        <v/>
      </c>
      <c r="AF399" s="334" t="str" cm="1">
        <f t="array" ref="AF399">IF($C399&lt;&gt;"bitte wählen",INDEX(ListeLebensmittelIFEU,AF$189+1,$P399),"")</f>
        <v/>
      </c>
      <c r="AG399" s="334" t="str" cm="1">
        <f t="array" ref="AG399">IF($C399&lt;&gt;"bitte wählen",INDEX(ListeLebensmittelIFEU,AG$189+1,$P399),"")</f>
        <v/>
      </c>
      <c r="AH399" s="334" t="str" cm="1">
        <f t="array" ref="AH399">IF($C399&lt;&gt;"bitte wählen",INDEX(ListeLebensmittelIFEU,AH$189+1,$P399),"")</f>
        <v/>
      </c>
      <c r="AI399" s="334" t="str" cm="1">
        <f t="array" ref="AI399">IF($C399&lt;&gt;"bitte wählen",INDEX(ListeLebensmittelIFEU,AI$189+1,$P399),"")</f>
        <v/>
      </c>
      <c r="AJ399" s="334" t="str" cm="1">
        <f t="array" ref="AJ399">IF($C399&lt;&gt;"bitte wählen",INDEX(ListeLebensmittelIFEU,AJ$189+1,$P399),"")</f>
        <v/>
      </c>
      <c r="AK399" s="334" t="str" cm="1">
        <f t="array" ref="AK399">IF($C399&lt;&gt;"bitte wählen",INDEX(ListeLebensmittelIFEU,AK$189+1,$P399),"")</f>
        <v/>
      </c>
      <c r="AL399" s="334" t="str" cm="1">
        <f t="array" ref="AL399">IF($C399&lt;&gt;"bitte wählen",INDEX(ListeLebensmittelIFEU,AL$189+1,$P399),"")</f>
        <v/>
      </c>
      <c r="AM399" s="334" t="str" cm="1">
        <f t="array" ref="AM399">IF($C399&lt;&gt;"bitte wählen",INDEX(ListeLebensmittelIFEU,AM$189+1,$P399),"")</f>
        <v/>
      </c>
      <c r="AN399" s="334" t="str" cm="1">
        <f t="array" ref="AN399">IF($C399&lt;&gt;"bitte wählen",INDEX(ListeLebensmittelIFEU,AN$189+1,$P399),"")</f>
        <v/>
      </c>
      <c r="AO399" s="334" t="str" cm="1">
        <f t="array" ref="AO399">IF($C399&lt;&gt;"bitte wählen",INDEX(ListeLebensmittelIFEU,AO$189+1,$P399),"")</f>
        <v/>
      </c>
      <c r="AP399" s="334" t="str" cm="1">
        <f t="array" ref="AP399">IF($C399&lt;&gt;"bitte wählen",INDEX(ListeLebensmittelIFEU,AP$189+1,$P399),"")</f>
        <v/>
      </c>
      <c r="AQ399" s="334" t="str" cm="1">
        <f t="array" ref="AQ399">IF($C399&lt;&gt;"bitte wählen",INDEX(ListeLebensmittelIFEU,AQ$189+1,$P399),"")</f>
        <v/>
      </c>
      <c r="AR399" s="334" t="str" cm="1">
        <f t="array" ref="AR399">IF($C399&lt;&gt;"bitte wählen",INDEX(ListeLebensmittelIFEU,AR$189+1,$P399),"")</f>
        <v/>
      </c>
      <c r="AS399" s="334" t="str" cm="1">
        <f t="array" ref="AS399">IF($C399&lt;&gt;"bitte wählen",INDEX(ListeLebensmittelIFEU,AS$189+1,$P399),"")</f>
        <v/>
      </c>
      <c r="AT399" s="334" t="str" cm="1">
        <f t="array" ref="AT399">IF($C399&lt;&gt;"bitte wählen",INDEX(ListeLebensmittelIFEU,AT$189+1,$P399),"")</f>
        <v/>
      </c>
      <c r="AU399" s="334" t="str" cm="1">
        <f t="array" ref="AU399">IF($C399&lt;&gt;"bitte wählen",INDEX(ListeLebensmittelIFEU,AU$189+1,$P399),"")</f>
        <v/>
      </c>
      <c r="AV399" s="334" t="str" cm="1">
        <f t="array" ref="AV399">IF($C399&lt;&gt;"bitte wählen",INDEX(ListeLebensmittelIFEU,AV$189+1,$P399),"")</f>
        <v/>
      </c>
      <c r="AW399" s="334" t="str" cm="1">
        <f t="array" ref="AW399">IF($C399&lt;&gt;"bitte wählen",INDEX(ListeLebensmittelIFEU,AW$189+1,$P399),"")</f>
        <v/>
      </c>
      <c r="AX399" s="334" t="str" cm="1">
        <f t="array" ref="AX399">IF($C399&lt;&gt;"bitte wählen",INDEX(ListeLebensmittelIFEU,AX$189+1,$P399),"")</f>
        <v/>
      </c>
      <c r="AY399" s="334" t="str" cm="1">
        <f t="array" ref="AY399">IF($C399&lt;&gt;"bitte wählen",INDEX(ListeLebensmittelIFEU,AY$189+1,$P399),"")</f>
        <v/>
      </c>
      <c r="AZ399" s="335" t="str" cm="1">
        <f t="array" ref="AZ399">IF($C399&lt;&gt;"bitte wählen",INDEX(ListeLebensmittelIFEU,AZ$189+1,$P399),"")</f>
        <v/>
      </c>
    </row>
    <row r="400" spans="1:52" x14ac:dyDescent="0.3">
      <c r="B400" t="s">
        <v>328</v>
      </c>
      <c r="C400" s="471" t="s">
        <v>27</v>
      </c>
      <c r="D400" s="472"/>
      <c r="E400" s="349"/>
      <c r="F400" s="473" t="s">
        <v>12</v>
      </c>
      <c r="G400" s="350" t="str">
        <f t="shared" si="104"/>
        <v/>
      </c>
      <c r="H400" s="293" t="str">
        <f t="shared" si="105"/>
        <v/>
      </c>
      <c r="P400" s="333">
        <f t="shared" si="106"/>
        <v>22</v>
      </c>
      <c r="Q400" s="334" t="e">
        <f t="shared" si="109"/>
        <v>#N/A</v>
      </c>
      <c r="R400" s="359">
        <f t="shared" si="107"/>
        <v>0</v>
      </c>
      <c r="S400" s="380">
        <f t="shared" si="108"/>
        <v>0</v>
      </c>
      <c r="T400" s="333" t="str" cm="1">
        <f t="array" ref="T400">IF($C400&lt;&gt;"bitte wählen",INDEX(ListeLebensmittelIFEU,T$189+1,$P400),"")</f>
        <v/>
      </c>
      <c r="U400" s="334" t="str" cm="1">
        <f t="array" ref="U400">IF($C400&lt;&gt;"bitte wählen",INDEX(ListeLebensmittelIFEU,U$189+1,$P400),"")</f>
        <v/>
      </c>
      <c r="V400" s="334" t="str" cm="1">
        <f t="array" ref="V400">IF($C400&lt;&gt;"bitte wählen",INDEX(ListeLebensmittelIFEU,V$189+1,$P400),"")</f>
        <v/>
      </c>
      <c r="W400" s="334" t="str" cm="1">
        <f t="array" ref="W400">IF($C400&lt;&gt;"bitte wählen",INDEX(ListeLebensmittelIFEU,W$189+1,$P400),"")</f>
        <v/>
      </c>
      <c r="X400" s="334" t="str" cm="1">
        <f t="array" ref="X400">IF($C400&lt;&gt;"bitte wählen",INDEX(ListeLebensmittelIFEU,X$189+1,$P400),"")</f>
        <v/>
      </c>
      <c r="Y400" s="334" t="str" cm="1">
        <f t="array" ref="Y400">IF($C400&lt;&gt;"bitte wählen",INDEX(ListeLebensmittelIFEU,Y$189+1,$P400),"")</f>
        <v/>
      </c>
      <c r="Z400" s="334" t="str" cm="1">
        <f t="array" ref="Z400">IF($C400&lt;&gt;"bitte wählen",INDEX(ListeLebensmittelIFEU,Z$189+1,$P400),"")</f>
        <v/>
      </c>
      <c r="AA400" s="334" t="str" cm="1">
        <f t="array" ref="AA400">IF($C400&lt;&gt;"bitte wählen",INDEX(ListeLebensmittelIFEU,AA$189+1,$P400),"")</f>
        <v/>
      </c>
      <c r="AB400" s="334" t="str" cm="1">
        <f t="array" ref="AB400">IF($C400&lt;&gt;"bitte wählen",INDEX(ListeLebensmittelIFEU,AB$189+1,$P400),"")</f>
        <v/>
      </c>
      <c r="AC400" s="334" t="str" cm="1">
        <f t="array" ref="AC400">IF($C400&lt;&gt;"bitte wählen",INDEX(ListeLebensmittelIFEU,AC$189+1,$P400),"")</f>
        <v/>
      </c>
      <c r="AD400" s="334" t="str" cm="1">
        <f t="array" ref="AD400">IF($C400&lt;&gt;"bitte wählen",INDEX(ListeLebensmittelIFEU,AD$189+1,$P400),"")</f>
        <v/>
      </c>
      <c r="AE400" s="334" t="str" cm="1">
        <f t="array" ref="AE400">IF($C400&lt;&gt;"bitte wählen",INDEX(ListeLebensmittelIFEU,AE$189+1,$P400),"")</f>
        <v/>
      </c>
      <c r="AF400" s="334" t="str" cm="1">
        <f t="array" ref="AF400">IF($C400&lt;&gt;"bitte wählen",INDEX(ListeLebensmittelIFEU,AF$189+1,$P400),"")</f>
        <v/>
      </c>
      <c r="AG400" s="334" t="str" cm="1">
        <f t="array" ref="AG400">IF($C400&lt;&gt;"bitte wählen",INDEX(ListeLebensmittelIFEU,AG$189+1,$P400),"")</f>
        <v/>
      </c>
      <c r="AH400" s="334" t="str" cm="1">
        <f t="array" ref="AH400">IF($C400&lt;&gt;"bitte wählen",INDEX(ListeLebensmittelIFEU,AH$189+1,$P400),"")</f>
        <v/>
      </c>
      <c r="AI400" s="334" t="str" cm="1">
        <f t="array" ref="AI400">IF($C400&lt;&gt;"bitte wählen",INDEX(ListeLebensmittelIFEU,AI$189+1,$P400),"")</f>
        <v/>
      </c>
      <c r="AJ400" s="334" t="str" cm="1">
        <f t="array" ref="AJ400">IF($C400&lt;&gt;"bitte wählen",INDEX(ListeLebensmittelIFEU,AJ$189+1,$P400),"")</f>
        <v/>
      </c>
      <c r="AK400" s="334" t="str" cm="1">
        <f t="array" ref="AK400">IF($C400&lt;&gt;"bitte wählen",INDEX(ListeLebensmittelIFEU,AK$189+1,$P400),"")</f>
        <v/>
      </c>
      <c r="AL400" s="334" t="str" cm="1">
        <f t="array" ref="AL400">IF($C400&lt;&gt;"bitte wählen",INDEX(ListeLebensmittelIFEU,AL$189+1,$P400),"")</f>
        <v/>
      </c>
      <c r="AM400" s="334" t="str" cm="1">
        <f t="array" ref="AM400">IF($C400&lt;&gt;"bitte wählen",INDEX(ListeLebensmittelIFEU,AM$189+1,$P400),"")</f>
        <v/>
      </c>
      <c r="AN400" s="334" t="str" cm="1">
        <f t="array" ref="AN400">IF($C400&lt;&gt;"bitte wählen",INDEX(ListeLebensmittelIFEU,AN$189+1,$P400),"")</f>
        <v/>
      </c>
      <c r="AO400" s="334" t="str" cm="1">
        <f t="array" ref="AO400">IF($C400&lt;&gt;"bitte wählen",INDEX(ListeLebensmittelIFEU,AO$189+1,$P400),"")</f>
        <v/>
      </c>
      <c r="AP400" s="334" t="str" cm="1">
        <f t="array" ref="AP400">IF($C400&lt;&gt;"bitte wählen",INDEX(ListeLebensmittelIFEU,AP$189+1,$P400),"")</f>
        <v/>
      </c>
      <c r="AQ400" s="334" t="str" cm="1">
        <f t="array" ref="AQ400">IF($C400&lt;&gt;"bitte wählen",INDEX(ListeLebensmittelIFEU,AQ$189+1,$P400),"")</f>
        <v/>
      </c>
      <c r="AR400" s="334" t="str" cm="1">
        <f t="array" ref="AR400">IF($C400&lt;&gt;"bitte wählen",INDEX(ListeLebensmittelIFEU,AR$189+1,$P400),"")</f>
        <v/>
      </c>
      <c r="AS400" s="334" t="str" cm="1">
        <f t="array" ref="AS400">IF($C400&lt;&gt;"bitte wählen",INDEX(ListeLebensmittelIFEU,AS$189+1,$P400),"")</f>
        <v/>
      </c>
      <c r="AT400" s="334" t="str" cm="1">
        <f t="array" ref="AT400">IF($C400&lt;&gt;"bitte wählen",INDEX(ListeLebensmittelIFEU,AT$189+1,$P400),"")</f>
        <v/>
      </c>
      <c r="AU400" s="334" t="str" cm="1">
        <f t="array" ref="AU400">IF($C400&lt;&gt;"bitte wählen",INDEX(ListeLebensmittelIFEU,AU$189+1,$P400),"")</f>
        <v/>
      </c>
      <c r="AV400" s="334" t="str" cm="1">
        <f t="array" ref="AV400">IF($C400&lt;&gt;"bitte wählen",INDEX(ListeLebensmittelIFEU,AV$189+1,$P400),"")</f>
        <v/>
      </c>
      <c r="AW400" s="334" t="str" cm="1">
        <f t="array" ref="AW400">IF($C400&lt;&gt;"bitte wählen",INDEX(ListeLebensmittelIFEU,AW$189+1,$P400),"")</f>
        <v/>
      </c>
      <c r="AX400" s="334" t="str" cm="1">
        <f t="array" ref="AX400">IF($C400&lt;&gt;"bitte wählen",INDEX(ListeLebensmittelIFEU,AX$189+1,$P400),"")</f>
        <v/>
      </c>
      <c r="AY400" s="334" t="str" cm="1">
        <f t="array" ref="AY400">IF($C400&lt;&gt;"bitte wählen",INDEX(ListeLebensmittelIFEU,AY$189+1,$P400),"")</f>
        <v/>
      </c>
      <c r="AZ400" s="335" t="str" cm="1">
        <f t="array" ref="AZ400">IF($C400&lt;&gt;"bitte wählen",INDEX(ListeLebensmittelIFEU,AZ$189+1,$P400),"")</f>
        <v/>
      </c>
    </row>
    <row r="401" spans="1:52" x14ac:dyDescent="0.3">
      <c r="B401" t="s">
        <v>329</v>
      </c>
      <c r="C401" s="471" t="s">
        <v>27</v>
      </c>
      <c r="D401" s="472"/>
      <c r="E401" s="349"/>
      <c r="F401" s="473" t="s">
        <v>12</v>
      </c>
      <c r="G401" s="350" t="str">
        <f t="shared" si="104"/>
        <v/>
      </c>
      <c r="H401" s="293" t="str">
        <f t="shared" si="105"/>
        <v/>
      </c>
      <c r="P401" s="333">
        <f t="shared" si="106"/>
        <v>22</v>
      </c>
      <c r="Q401" s="334" t="e">
        <f t="shared" si="109"/>
        <v>#N/A</v>
      </c>
      <c r="R401" s="359">
        <f t="shared" si="107"/>
        <v>0</v>
      </c>
      <c r="S401" s="380">
        <f t="shared" si="108"/>
        <v>0</v>
      </c>
      <c r="T401" s="333" t="str" cm="1">
        <f t="array" ref="T401">IF($C401&lt;&gt;"bitte wählen",INDEX(ListeLebensmittelIFEU,T$189+1,$P401),"")</f>
        <v/>
      </c>
      <c r="U401" s="334" t="str" cm="1">
        <f t="array" ref="U401">IF($C401&lt;&gt;"bitte wählen",INDEX(ListeLebensmittelIFEU,U$189+1,$P401),"")</f>
        <v/>
      </c>
      <c r="V401" s="334" t="str" cm="1">
        <f t="array" ref="V401">IF($C401&lt;&gt;"bitte wählen",INDEX(ListeLebensmittelIFEU,V$189+1,$P401),"")</f>
        <v/>
      </c>
      <c r="W401" s="334" t="str" cm="1">
        <f t="array" ref="W401">IF($C401&lt;&gt;"bitte wählen",INDEX(ListeLebensmittelIFEU,W$189+1,$P401),"")</f>
        <v/>
      </c>
      <c r="X401" s="334" t="str" cm="1">
        <f t="array" ref="X401">IF($C401&lt;&gt;"bitte wählen",INDEX(ListeLebensmittelIFEU,X$189+1,$P401),"")</f>
        <v/>
      </c>
      <c r="Y401" s="334" t="str" cm="1">
        <f t="array" ref="Y401">IF($C401&lt;&gt;"bitte wählen",INDEX(ListeLebensmittelIFEU,Y$189+1,$P401),"")</f>
        <v/>
      </c>
      <c r="Z401" s="334" t="str" cm="1">
        <f t="array" ref="Z401">IF($C401&lt;&gt;"bitte wählen",INDEX(ListeLebensmittelIFEU,Z$189+1,$P401),"")</f>
        <v/>
      </c>
      <c r="AA401" s="334" t="str" cm="1">
        <f t="array" ref="AA401">IF($C401&lt;&gt;"bitte wählen",INDEX(ListeLebensmittelIFEU,AA$189+1,$P401),"")</f>
        <v/>
      </c>
      <c r="AB401" s="334" t="str" cm="1">
        <f t="array" ref="AB401">IF($C401&lt;&gt;"bitte wählen",INDEX(ListeLebensmittelIFEU,AB$189+1,$P401),"")</f>
        <v/>
      </c>
      <c r="AC401" s="334" t="str" cm="1">
        <f t="array" ref="AC401">IF($C401&lt;&gt;"bitte wählen",INDEX(ListeLebensmittelIFEU,AC$189+1,$P401),"")</f>
        <v/>
      </c>
      <c r="AD401" s="334" t="str" cm="1">
        <f t="array" ref="AD401">IF($C401&lt;&gt;"bitte wählen",INDEX(ListeLebensmittelIFEU,AD$189+1,$P401),"")</f>
        <v/>
      </c>
      <c r="AE401" s="334" t="str" cm="1">
        <f t="array" ref="AE401">IF($C401&lt;&gt;"bitte wählen",INDEX(ListeLebensmittelIFEU,AE$189+1,$P401),"")</f>
        <v/>
      </c>
      <c r="AF401" s="334" t="str" cm="1">
        <f t="array" ref="AF401">IF($C401&lt;&gt;"bitte wählen",INDEX(ListeLebensmittelIFEU,AF$189+1,$P401),"")</f>
        <v/>
      </c>
      <c r="AG401" s="334" t="str" cm="1">
        <f t="array" ref="AG401">IF($C401&lt;&gt;"bitte wählen",INDEX(ListeLebensmittelIFEU,AG$189+1,$P401),"")</f>
        <v/>
      </c>
      <c r="AH401" s="334" t="str" cm="1">
        <f t="array" ref="AH401">IF($C401&lt;&gt;"bitte wählen",INDEX(ListeLebensmittelIFEU,AH$189+1,$P401),"")</f>
        <v/>
      </c>
      <c r="AI401" s="334" t="str" cm="1">
        <f t="array" ref="AI401">IF($C401&lt;&gt;"bitte wählen",INDEX(ListeLebensmittelIFEU,AI$189+1,$P401),"")</f>
        <v/>
      </c>
      <c r="AJ401" s="334" t="str" cm="1">
        <f t="array" ref="AJ401">IF($C401&lt;&gt;"bitte wählen",INDEX(ListeLebensmittelIFEU,AJ$189+1,$P401),"")</f>
        <v/>
      </c>
      <c r="AK401" s="334" t="str" cm="1">
        <f t="array" ref="AK401">IF($C401&lt;&gt;"bitte wählen",INDEX(ListeLebensmittelIFEU,AK$189+1,$P401),"")</f>
        <v/>
      </c>
      <c r="AL401" s="334" t="str" cm="1">
        <f t="array" ref="AL401">IF($C401&lt;&gt;"bitte wählen",INDEX(ListeLebensmittelIFEU,AL$189+1,$P401),"")</f>
        <v/>
      </c>
      <c r="AM401" s="334" t="str" cm="1">
        <f t="array" ref="AM401">IF($C401&lt;&gt;"bitte wählen",INDEX(ListeLebensmittelIFEU,AM$189+1,$P401),"")</f>
        <v/>
      </c>
      <c r="AN401" s="334" t="str" cm="1">
        <f t="array" ref="AN401">IF($C401&lt;&gt;"bitte wählen",INDEX(ListeLebensmittelIFEU,AN$189+1,$P401),"")</f>
        <v/>
      </c>
      <c r="AO401" s="334" t="str" cm="1">
        <f t="array" ref="AO401">IF($C401&lt;&gt;"bitte wählen",INDEX(ListeLebensmittelIFEU,AO$189+1,$P401),"")</f>
        <v/>
      </c>
      <c r="AP401" s="334" t="str" cm="1">
        <f t="array" ref="AP401">IF($C401&lt;&gt;"bitte wählen",INDEX(ListeLebensmittelIFEU,AP$189+1,$P401),"")</f>
        <v/>
      </c>
      <c r="AQ401" s="334" t="str" cm="1">
        <f t="array" ref="AQ401">IF($C401&lt;&gt;"bitte wählen",INDEX(ListeLebensmittelIFEU,AQ$189+1,$P401),"")</f>
        <v/>
      </c>
      <c r="AR401" s="334" t="str" cm="1">
        <f t="array" ref="AR401">IF($C401&lt;&gt;"bitte wählen",INDEX(ListeLebensmittelIFEU,AR$189+1,$P401),"")</f>
        <v/>
      </c>
      <c r="AS401" s="334" t="str" cm="1">
        <f t="array" ref="AS401">IF($C401&lt;&gt;"bitte wählen",INDEX(ListeLebensmittelIFEU,AS$189+1,$P401),"")</f>
        <v/>
      </c>
      <c r="AT401" s="334" t="str" cm="1">
        <f t="array" ref="AT401">IF($C401&lt;&gt;"bitte wählen",INDEX(ListeLebensmittelIFEU,AT$189+1,$P401),"")</f>
        <v/>
      </c>
      <c r="AU401" s="334" t="str" cm="1">
        <f t="array" ref="AU401">IF($C401&lt;&gt;"bitte wählen",INDEX(ListeLebensmittelIFEU,AU$189+1,$P401),"")</f>
        <v/>
      </c>
      <c r="AV401" s="334" t="str" cm="1">
        <f t="array" ref="AV401">IF($C401&lt;&gt;"bitte wählen",INDEX(ListeLebensmittelIFEU,AV$189+1,$P401),"")</f>
        <v/>
      </c>
      <c r="AW401" s="334" t="str" cm="1">
        <f t="array" ref="AW401">IF($C401&lt;&gt;"bitte wählen",INDEX(ListeLebensmittelIFEU,AW$189+1,$P401),"")</f>
        <v/>
      </c>
      <c r="AX401" s="334" t="str" cm="1">
        <f t="array" ref="AX401">IF($C401&lt;&gt;"bitte wählen",INDEX(ListeLebensmittelIFEU,AX$189+1,$P401),"")</f>
        <v/>
      </c>
      <c r="AY401" s="334" t="str" cm="1">
        <f t="array" ref="AY401">IF($C401&lt;&gt;"bitte wählen",INDEX(ListeLebensmittelIFEU,AY$189+1,$P401),"")</f>
        <v/>
      </c>
      <c r="AZ401" s="335" t="str" cm="1">
        <f t="array" ref="AZ401">IF($C401&lt;&gt;"bitte wählen",INDEX(ListeLebensmittelIFEU,AZ$189+1,$P401),"")</f>
        <v/>
      </c>
    </row>
    <row r="402" spans="1:52" x14ac:dyDescent="0.3">
      <c r="B402" t="s">
        <v>330</v>
      </c>
      <c r="C402" s="471" t="s">
        <v>27</v>
      </c>
      <c r="D402" s="472"/>
      <c r="E402" s="349"/>
      <c r="F402" s="473" t="s">
        <v>12</v>
      </c>
      <c r="G402" s="350" t="str">
        <f t="shared" si="104"/>
        <v/>
      </c>
      <c r="H402" s="293" t="str">
        <f t="shared" si="105"/>
        <v/>
      </c>
      <c r="P402" s="333">
        <f t="shared" si="106"/>
        <v>22</v>
      </c>
      <c r="Q402" s="334" t="e">
        <f t="shared" si="109"/>
        <v>#N/A</v>
      </c>
      <c r="R402" s="359">
        <f t="shared" si="107"/>
        <v>0</v>
      </c>
      <c r="S402" s="380">
        <f t="shared" si="108"/>
        <v>0</v>
      </c>
      <c r="T402" s="333" t="str" cm="1">
        <f t="array" ref="T402">IF($C402&lt;&gt;"bitte wählen",INDEX(ListeLebensmittelIFEU,T$189+1,$P402),"")</f>
        <v/>
      </c>
      <c r="U402" s="334" t="str" cm="1">
        <f t="array" ref="U402">IF($C402&lt;&gt;"bitte wählen",INDEX(ListeLebensmittelIFEU,U$189+1,$P402),"")</f>
        <v/>
      </c>
      <c r="V402" s="334" t="str" cm="1">
        <f t="array" ref="V402">IF($C402&lt;&gt;"bitte wählen",INDEX(ListeLebensmittelIFEU,V$189+1,$P402),"")</f>
        <v/>
      </c>
      <c r="W402" s="334" t="str" cm="1">
        <f t="array" ref="W402">IF($C402&lt;&gt;"bitte wählen",INDEX(ListeLebensmittelIFEU,W$189+1,$P402),"")</f>
        <v/>
      </c>
      <c r="X402" s="334" t="str" cm="1">
        <f t="array" ref="X402">IF($C402&lt;&gt;"bitte wählen",INDEX(ListeLebensmittelIFEU,X$189+1,$P402),"")</f>
        <v/>
      </c>
      <c r="Y402" s="334" t="str" cm="1">
        <f t="array" ref="Y402">IF($C402&lt;&gt;"bitte wählen",INDEX(ListeLebensmittelIFEU,Y$189+1,$P402),"")</f>
        <v/>
      </c>
      <c r="Z402" s="334" t="str" cm="1">
        <f t="array" ref="Z402">IF($C402&lt;&gt;"bitte wählen",INDEX(ListeLebensmittelIFEU,Z$189+1,$P402),"")</f>
        <v/>
      </c>
      <c r="AA402" s="334" t="str" cm="1">
        <f t="array" ref="AA402">IF($C402&lt;&gt;"bitte wählen",INDEX(ListeLebensmittelIFEU,AA$189+1,$P402),"")</f>
        <v/>
      </c>
      <c r="AB402" s="334" t="str" cm="1">
        <f t="array" ref="AB402">IF($C402&lt;&gt;"bitte wählen",INDEX(ListeLebensmittelIFEU,AB$189+1,$P402),"")</f>
        <v/>
      </c>
      <c r="AC402" s="334" t="str" cm="1">
        <f t="array" ref="AC402">IF($C402&lt;&gt;"bitte wählen",INDEX(ListeLebensmittelIFEU,AC$189+1,$P402),"")</f>
        <v/>
      </c>
      <c r="AD402" s="334" t="str" cm="1">
        <f t="array" ref="AD402">IF($C402&lt;&gt;"bitte wählen",INDEX(ListeLebensmittelIFEU,AD$189+1,$P402),"")</f>
        <v/>
      </c>
      <c r="AE402" s="334" t="str" cm="1">
        <f t="array" ref="AE402">IF($C402&lt;&gt;"bitte wählen",INDEX(ListeLebensmittelIFEU,AE$189+1,$P402),"")</f>
        <v/>
      </c>
      <c r="AF402" s="334" t="str" cm="1">
        <f t="array" ref="AF402">IF($C402&lt;&gt;"bitte wählen",INDEX(ListeLebensmittelIFEU,AF$189+1,$P402),"")</f>
        <v/>
      </c>
      <c r="AG402" s="334" t="str" cm="1">
        <f t="array" ref="AG402">IF($C402&lt;&gt;"bitte wählen",INDEX(ListeLebensmittelIFEU,AG$189+1,$P402),"")</f>
        <v/>
      </c>
      <c r="AH402" s="334" t="str" cm="1">
        <f t="array" ref="AH402">IF($C402&lt;&gt;"bitte wählen",INDEX(ListeLebensmittelIFEU,AH$189+1,$P402),"")</f>
        <v/>
      </c>
      <c r="AI402" s="334" t="str" cm="1">
        <f t="array" ref="AI402">IF($C402&lt;&gt;"bitte wählen",INDEX(ListeLebensmittelIFEU,AI$189+1,$P402),"")</f>
        <v/>
      </c>
      <c r="AJ402" s="334" t="str" cm="1">
        <f t="array" ref="AJ402">IF($C402&lt;&gt;"bitte wählen",INDEX(ListeLebensmittelIFEU,AJ$189+1,$P402),"")</f>
        <v/>
      </c>
      <c r="AK402" s="334" t="str" cm="1">
        <f t="array" ref="AK402">IF($C402&lt;&gt;"bitte wählen",INDEX(ListeLebensmittelIFEU,AK$189+1,$P402),"")</f>
        <v/>
      </c>
      <c r="AL402" s="334" t="str" cm="1">
        <f t="array" ref="AL402">IF($C402&lt;&gt;"bitte wählen",INDEX(ListeLebensmittelIFEU,AL$189+1,$P402),"")</f>
        <v/>
      </c>
      <c r="AM402" s="334" t="str" cm="1">
        <f t="array" ref="AM402">IF($C402&lt;&gt;"bitte wählen",INDEX(ListeLebensmittelIFEU,AM$189+1,$P402),"")</f>
        <v/>
      </c>
      <c r="AN402" s="334" t="str" cm="1">
        <f t="array" ref="AN402">IF($C402&lt;&gt;"bitte wählen",INDEX(ListeLebensmittelIFEU,AN$189+1,$P402),"")</f>
        <v/>
      </c>
      <c r="AO402" s="334" t="str" cm="1">
        <f t="array" ref="AO402">IF($C402&lt;&gt;"bitte wählen",INDEX(ListeLebensmittelIFEU,AO$189+1,$P402),"")</f>
        <v/>
      </c>
      <c r="AP402" s="334" t="str" cm="1">
        <f t="array" ref="AP402">IF($C402&lt;&gt;"bitte wählen",INDEX(ListeLebensmittelIFEU,AP$189+1,$P402),"")</f>
        <v/>
      </c>
      <c r="AQ402" s="334" t="str" cm="1">
        <f t="array" ref="AQ402">IF($C402&lt;&gt;"bitte wählen",INDEX(ListeLebensmittelIFEU,AQ$189+1,$P402),"")</f>
        <v/>
      </c>
      <c r="AR402" s="334" t="str" cm="1">
        <f t="array" ref="AR402">IF($C402&lt;&gt;"bitte wählen",INDEX(ListeLebensmittelIFEU,AR$189+1,$P402),"")</f>
        <v/>
      </c>
      <c r="AS402" s="334" t="str" cm="1">
        <f t="array" ref="AS402">IF($C402&lt;&gt;"bitte wählen",INDEX(ListeLebensmittelIFEU,AS$189+1,$P402),"")</f>
        <v/>
      </c>
      <c r="AT402" s="334" t="str" cm="1">
        <f t="array" ref="AT402">IF($C402&lt;&gt;"bitte wählen",INDEX(ListeLebensmittelIFEU,AT$189+1,$P402),"")</f>
        <v/>
      </c>
      <c r="AU402" s="334" t="str" cm="1">
        <f t="array" ref="AU402">IF($C402&lt;&gt;"bitte wählen",INDEX(ListeLebensmittelIFEU,AU$189+1,$P402),"")</f>
        <v/>
      </c>
      <c r="AV402" s="334" t="str" cm="1">
        <f t="array" ref="AV402">IF($C402&lt;&gt;"bitte wählen",INDEX(ListeLebensmittelIFEU,AV$189+1,$P402),"")</f>
        <v/>
      </c>
      <c r="AW402" s="334" t="str" cm="1">
        <f t="array" ref="AW402">IF($C402&lt;&gt;"bitte wählen",INDEX(ListeLebensmittelIFEU,AW$189+1,$P402),"")</f>
        <v/>
      </c>
      <c r="AX402" s="334" t="str" cm="1">
        <f t="array" ref="AX402">IF($C402&lt;&gt;"bitte wählen",INDEX(ListeLebensmittelIFEU,AX$189+1,$P402),"")</f>
        <v/>
      </c>
      <c r="AY402" s="334" t="str" cm="1">
        <f t="array" ref="AY402">IF($C402&lt;&gt;"bitte wählen",INDEX(ListeLebensmittelIFEU,AY$189+1,$P402),"")</f>
        <v/>
      </c>
      <c r="AZ402" s="335" t="str" cm="1">
        <f t="array" ref="AZ402">IF($C402&lt;&gt;"bitte wählen",INDEX(ListeLebensmittelIFEU,AZ$189+1,$P402),"")</f>
        <v/>
      </c>
    </row>
    <row r="403" spans="1:52" x14ac:dyDescent="0.3">
      <c r="B403" t="s">
        <v>398</v>
      </c>
      <c r="C403" s="471" t="s">
        <v>27</v>
      </c>
      <c r="D403" s="472"/>
      <c r="E403" s="349"/>
      <c r="F403" s="473" t="s">
        <v>12</v>
      </c>
      <c r="G403" s="350" t="str">
        <f t="shared" si="104"/>
        <v/>
      </c>
      <c r="H403" s="293" t="str">
        <f t="shared" si="105"/>
        <v/>
      </c>
      <c r="P403" s="336">
        <f t="shared" si="106"/>
        <v>22</v>
      </c>
      <c r="Q403" s="337" t="e">
        <f t="shared" si="109"/>
        <v>#N/A</v>
      </c>
      <c r="R403" s="360">
        <f t="shared" si="107"/>
        <v>0</v>
      </c>
      <c r="S403" s="381">
        <f t="shared" si="108"/>
        <v>0</v>
      </c>
      <c r="T403" s="336" t="str" cm="1">
        <f t="array" ref="T403">IF($C403&lt;&gt;"bitte wählen",INDEX(ListeLebensmittelIFEU,T$189+1,$P403),"")</f>
        <v/>
      </c>
      <c r="U403" s="337" t="str" cm="1">
        <f t="array" ref="U403">IF($C403&lt;&gt;"bitte wählen",INDEX(ListeLebensmittelIFEU,U$189+1,$P403),"")</f>
        <v/>
      </c>
      <c r="V403" s="337" t="str" cm="1">
        <f t="array" ref="V403">IF($C403&lt;&gt;"bitte wählen",INDEX(ListeLebensmittelIFEU,V$189+1,$P403),"")</f>
        <v/>
      </c>
      <c r="W403" s="337" t="str" cm="1">
        <f t="array" ref="W403">IF($C403&lt;&gt;"bitte wählen",INDEX(ListeLebensmittelIFEU,W$189+1,$P403),"")</f>
        <v/>
      </c>
      <c r="X403" s="337" t="str" cm="1">
        <f t="array" ref="X403">IF($C403&lt;&gt;"bitte wählen",INDEX(ListeLebensmittelIFEU,X$189+1,$P403),"")</f>
        <v/>
      </c>
      <c r="Y403" s="337" t="str" cm="1">
        <f t="array" ref="Y403">IF($C403&lt;&gt;"bitte wählen",INDEX(ListeLebensmittelIFEU,Y$189+1,$P403),"")</f>
        <v/>
      </c>
      <c r="Z403" s="337" t="str" cm="1">
        <f t="array" ref="Z403">IF($C403&lt;&gt;"bitte wählen",INDEX(ListeLebensmittelIFEU,Z$189+1,$P403),"")</f>
        <v/>
      </c>
      <c r="AA403" s="337" t="str" cm="1">
        <f t="array" ref="AA403">IF($C403&lt;&gt;"bitte wählen",INDEX(ListeLebensmittelIFEU,AA$189+1,$P403),"")</f>
        <v/>
      </c>
      <c r="AB403" s="337" t="str" cm="1">
        <f t="array" ref="AB403">IF($C403&lt;&gt;"bitte wählen",INDEX(ListeLebensmittelIFEU,AB$189+1,$P403),"")</f>
        <v/>
      </c>
      <c r="AC403" s="337" t="str" cm="1">
        <f t="array" ref="AC403">IF($C403&lt;&gt;"bitte wählen",INDEX(ListeLebensmittelIFEU,AC$189+1,$P403),"")</f>
        <v/>
      </c>
      <c r="AD403" s="337" t="str" cm="1">
        <f t="array" ref="AD403">IF($C403&lt;&gt;"bitte wählen",INDEX(ListeLebensmittelIFEU,AD$189+1,$P403),"")</f>
        <v/>
      </c>
      <c r="AE403" s="337" t="str" cm="1">
        <f t="array" ref="AE403">IF($C403&lt;&gt;"bitte wählen",INDEX(ListeLebensmittelIFEU,AE$189+1,$P403),"")</f>
        <v/>
      </c>
      <c r="AF403" s="337" t="str" cm="1">
        <f t="array" ref="AF403">IF($C403&lt;&gt;"bitte wählen",INDEX(ListeLebensmittelIFEU,AF$189+1,$P403),"")</f>
        <v/>
      </c>
      <c r="AG403" s="337" t="str" cm="1">
        <f t="array" ref="AG403">IF($C403&lt;&gt;"bitte wählen",INDEX(ListeLebensmittelIFEU,AG$189+1,$P403),"")</f>
        <v/>
      </c>
      <c r="AH403" s="337" t="str" cm="1">
        <f t="array" ref="AH403">IF($C403&lt;&gt;"bitte wählen",INDEX(ListeLebensmittelIFEU,AH$189+1,$P403),"")</f>
        <v/>
      </c>
      <c r="AI403" s="337" t="str" cm="1">
        <f t="array" ref="AI403">IF($C403&lt;&gt;"bitte wählen",INDEX(ListeLebensmittelIFEU,AI$189+1,$P403),"")</f>
        <v/>
      </c>
      <c r="AJ403" s="337" t="str" cm="1">
        <f t="array" ref="AJ403">IF($C403&lt;&gt;"bitte wählen",INDEX(ListeLebensmittelIFEU,AJ$189+1,$P403),"")</f>
        <v/>
      </c>
      <c r="AK403" s="337" t="str" cm="1">
        <f t="array" ref="AK403">IF($C403&lt;&gt;"bitte wählen",INDEX(ListeLebensmittelIFEU,AK$189+1,$P403),"")</f>
        <v/>
      </c>
      <c r="AL403" s="337" t="str" cm="1">
        <f t="array" ref="AL403">IF($C403&lt;&gt;"bitte wählen",INDEX(ListeLebensmittelIFEU,AL$189+1,$P403),"")</f>
        <v/>
      </c>
      <c r="AM403" s="337" t="str" cm="1">
        <f t="array" ref="AM403">IF($C403&lt;&gt;"bitte wählen",INDEX(ListeLebensmittelIFEU,AM$189+1,$P403),"")</f>
        <v/>
      </c>
      <c r="AN403" s="337" t="str" cm="1">
        <f t="array" ref="AN403">IF($C403&lt;&gt;"bitte wählen",INDEX(ListeLebensmittelIFEU,AN$189+1,$P403),"")</f>
        <v/>
      </c>
      <c r="AO403" s="337" t="str" cm="1">
        <f t="array" ref="AO403">IF($C403&lt;&gt;"bitte wählen",INDEX(ListeLebensmittelIFEU,AO$189+1,$P403),"")</f>
        <v/>
      </c>
      <c r="AP403" s="337" t="str" cm="1">
        <f t="array" ref="AP403">IF($C403&lt;&gt;"bitte wählen",INDEX(ListeLebensmittelIFEU,AP$189+1,$P403),"")</f>
        <v/>
      </c>
      <c r="AQ403" s="337" t="str" cm="1">
        <f t="array" ref="AQ403">IF($C403&lt;&gt;"bitte wählen",INDEX(ListeLebensmittelIFEU,AQ$189+1,$P403),"")</f>
        <v/>
      </c>
      <c r="AR403" s="337" t="str" cm="1">
        <f t="array" ref="AR403">IF($C403&lt;&gt;"bitte wählen",INDEX(ListeLebensmittelIFEU,AR$189+1,$P403),"")</f>
        <v/>
      </c>
      <c r="AS403" s="337" t="str" cm="1">
        <f t="array" ref="AS403">IF($C403&lt;&gt;"bitte wählen",INDEX(ListeLebensmittelIFEU,AS$189+1,$P403),"")</f>
        <v/>
      </c>
      <c r="AT403" s="337" t="str" cm="1">
        <f t="array" ref="AT403">IF($C403&lt;&gt;"bitte wählen",INDEX(ListeLebensmittelIFEU,AT$189+1,$P403),"")</f>
        <v/>
      </c>
      <c r="AU403" s="337" t="str" cm="1">
        <f t="array" ref="AU403">IF($C403&lt;&gt;"bitte wählen",INDEX(ListeLebensmittelIFEU,AU$189+1,$P403),"")</f>
        <v/>
      </c>
      <c r="AV403" s="337" t="str" cm="1">
        <f t="array" ref="AV403">IF($C403&lt;&gt;"bitte wählen",INDEX(ListeLebensmittelIFEU,AV$189+1,$P403),"")</f>
        <v/>
      </c>
      <c r="AW403" s="337" t="str" cm="1">
        <f t="array" ref="AW403">IF($C403&lt;&gt;"bitte wählen",INDEX(ListeLebensmittelIFEU,AW$189+1,$P403),"")</f>
        <v/>
      </c>
      <c r="AX403" s="337" t="str" cm="1">
        <f t="array" ref="AX403">IF($C403&lt;&gt;"bitte wählen",INDEX(ListeLebensmittelIFEU,AX$189+1,$P403),"")</f>
        <v/>
      </c>
      <c r="AY403" s="337" t="str" cm="1">
        <f t="array" ref="AY403">IF($C403&lt;&gt;"bitte wählen",INDEX(ListeLebensmittelIFEU,AY$189+1,$P403),"")</f>
        <v/>
      </c>
      <c r="AZ403" s="338" t="str" cm="1">
        <f t="array" ref="AZ403">IF($C403&lt;&gt;"bitte wählen",INDEX(ListeLebensmittelIFEU,AZ$189+1,$P403),"")</f>
        <v/>
      </c>
    </row>
    <row r="404" spans="1:52" x14ac:dyDescent="0.3">
      <c r="B404" s="105" t="str">
        <f>IF(R404,IF(E404/IF(D396="",1,D396)&lt;GewichtMittagessenMin,"Hinweis: Dies scheint eine relativ kleine Portion zu sein",IF(E404/IF(D396="",1,D396)&gt;GewichtMittagessenMax,"Hinweis: Dies scheint eine relativ große Portion zu sein","")),"")</f>
        <v/>
      </c>
      <c r="C404" s="78"/>
      <c r="D404" s="78"/>
      <c r="E404" s="355">
        <f>SUM(E398:E403)-SUMIF(C398:C403,"Getränke",E398:E403)</f>
        <v>0</v>
      </c>
      <c r="G404" s="15" t="s">
        <v>622</v>
      </c>
      <c r="H404" s="293">
        <f>SUM(H398:H403)</f>
        <v>0</v>
      </c>
      <c r="Q404" s="383" t="s">
        <v>1030</v>
      </c>
      <c r="R404" s="386" t="b">
        <f>IF(SUM(R398:R403)&gt;0,TRUE,FALSE)</f>
        <v>0</v>
      </c>
      <c r="S404" s="383">
        <f>SUM(S398:S403)</f>
        <v>0</v>
      </c>
      <c r="T404" s="383" t="s">
        <v>1029</v>
      </c>
      <c r="U404" s="383" t="str">
        <f>IF(R404,IF(S404&gt;9,10,IF(S404&gt;0,1,0)),"")</f>
        <v/>
      </c>
    </row>
    <row r="405" spans="1:52" x14ac:dyDescent="0.3">
      <c r="B405" s="385" t="str">
        <f>IF(U404=0,"🌱 vegan","")</f>
        <v/>
      </c>
      <c r="C405" s="105" t="str">
        <f>IF(U404=1,"Ⓥ vegetarisch","")</f>
        <v/>
      </c>
      <c r="D405" s="384" t="str">
        <f>IF(U404=10,"🥩 mit Fleisch/Fisch","")</f>
        <v/>
      </c>
      <c r="E405" s="78"/>
      <c r="G405" s="15" t="s">
        <v>623</v>
      </c>
      <c r="H405" s="294">
        <f>IF(D396="",H404,H404/D396)</f>
        <v>0</v>
      </c>
    </row>
    <row r="406" spans="1:52" x14ac:dyDescent="0.3">
      <c r="C406" s="78"/>
      <c r="D406" s="78"/>
      <c r="E406" s="78"/>
      <c r="G406" s="15"/>
      <c r="H406" s="15"/>
    </row>
    <row r="407" spans="1:52" ht="18" thickBot="1" x14ac:dyDescent="0.4">
      <c r="B407" s="496" t="str">
        <f>"CO₂-Bilanz Gericht 18: "&amp;D408</f>
        <v>CO₂-Bilanz Gericht 18: Menü 18</v>
      </c>
      <c r="C407" s="496"/>
      <c r="D407" s="496"/>
      <c r="E407" s="496"/>
      <c r="T407" s="84"/>
    </row>
    <row r="408" spans="1:52" ht="15" thickTop="1" x14ac:dyDescent="0.3">
      <c r="B408" t="s">
        <v>994</v>
      </c>
      <c r="D408" s="288" t="s">
        <v>1020</v>
      </c>
      <c r="F408" s="78"/>
      <c r="G408" s="78"/>
      <c r="H408" s="78"/>
      <c r="I408" s="78"/>
    </row>
    <row r="409" spans="1:52" x14ac:dyDescent="0.3">
      <c r="B409" t="s">
        <v>995</v>
      </c>
      <c r="C409" s="78"/>
      <c r="D409" s="291">
        <v>1</v>
      </c>
      <c r="E409" s="301" t="str">
        <f>IF(ISNUMBER(FIND("g",_xlfn.CONCAT(E411:E416))),"Bitte Menge als reine Zahl ohne Zusatz g eingeben","")</f>
        <v/>
      </c>
      <c r="G409" s="78"/>
      <c r="H409" s="78"/>
      <c r="T409" s="329" t="s">
        <v>918</v>
      </c>
      <c r="U409" s="330"/>
      <c r="V409" s="330"/>
      <c r="W409" s="330"/>
      <c r="X409" s="330"/>
      <c r="Y409" s="330"/>
    </row>
    <row r="410" spans="1:52" ht="44.4" x14ac:dyDescent="0.35">
      <c r="A410" s="376" t="s">
        <v>1217</v>
      </c>
      <c r="C410" s="297" t="s">
        <v>993</v>
      </c>
      <c r="D410" s="313" t="s">
        <v>992</v>
      </c>
      <c r="E410" s="298" t="s">
        <v>323</v>
      </c>
      <c r="F410" s="298" t="s">
        <v>324</v>
      </c>
      <c r="G410" s="296" t="s">
        <v>534</v>
      </c>
      <c r="H410" s="296" t="s">
        <v>535</v>
      </c>
      <c r="P410" s="356" t="s">
        <v>956</v>
      </c>
      <c r="Q410" s="356" t="s">
        <v>957</v>
      </c>
      <c r="R410" s="357" t="s">
        <v>958</v>
      </c>
      <c r="S410" s="357" t="s">
        <v>1028</v>
      </c>
      <c r="T410" s="361">
        <v>1</v>
      </c>
      <c r="U410" s="362">
        <v>2</v>
      </c>
      <c r="V410" s="362">
        <v>3</v>
      </c>
      <c r="W410" s="362">
        <v>4</v>
      </c>
      <c r="X410" s="362">
        <v>5</v>
      </c>
      <c r="Y410" s="362">
        <v>6</v>
      </c>
      <c r="Z410" s="362">
        <v>7</v>
      </c>
      <c r="AA410" s="362">
        <v>8</v>
      </c>
      <c r="AB410" s="362">
        <v>9</v>
      </c>
      <c r="AC410" s="362">
        <v>10</v>
      </c>
      <c r="AD410" s="362">
        <v>11</v>
      </c>
      <c r="AE410" s="362">
        <v>12</v>
      </c>
      <c r="AF410" s="362">
        <v>13</v>
      </c>
      <c r="AG410" s="362">
        <v>14</v>
      </c>
      <c r="AH410" s="362">
        <v>15</v>
      </c>
      <c r="AI410" s="362">
        <v>16</v>
      </c>
      <c r="AJ410" s="362">
        <v>17</v>
      </c>
      <c r="AK410" s="362">
        <v>18</v>
      </c>
      <c r="AL410" s="362">
        <v>19</v>
      </c>
      <c r="AM410" s="362">
        <v>20</v>
      </c>
      <c r="AN410" s="362">
        <v>21</v>
      </c>
      <c r="AO410" s="362">
        <v>22</v>
      </c>
      <c r="AP410" s="362">
        <v>23</v>
      </c>
      <c r="AQ410" s="362">
        <v>24</v>
      </c>
      <c r="AR410" s="362">
        <v>25</v>
      </c>
      <c r="AS410" s="362">
        <v>26</v>
      </c>
      <c r="AT410" s="362">
        <v>27</v>
      </c>
      <c r="AU410" s="362">
        <v>28</v>
      </c>
      <c r="AV410" s="362">
        <v>29</v>
      </c>
      <c r="AW410" s="362">
        <v>30</v>
      </c>
      <c r="AX410" s="362">
        <v>31</v>
      </c>
      <c r="AY410" s="362">
        <v>32</v>
      </c>
      <c r="AZ410" s="363">
        <v>33</v>
      </c>
    </row>
    <row r="411" spans="1:52" x14ac:dyDescent="0.3">
      <c r="B411" t="s">
        <v>13</v>
      </c>
      <c r="C411" s="471" t="s">
        <v>27</v>
      </c>
      <c r="D411" s="472"/>
      <c r="E411" s="470"/>
      <c r="F411" s="473" t="s">
        <v>12</v>
      </c>
      <c r="G411" s="350" t="str">
        <f t="shared" ref="G411:G416" si="110">IF(D411="","",R411*IF(F411="Ja",FaktorBeiLokalemProdukt,1))</f>
        <v/>
      </c>
      <c r="H411" s="293" t="str">
        <f t="shared" ref="H411:H416" si="111">IF(D411="","",E411*G411)</f>
        <v/>
      </c>
      <c r="P411" s="331">
        <f t="shared" ref="P411:P416" si="112">VLOOKUP(C411,$C$457:$D$464,2,FALSE)</f>
        <v>22</v>
      </c>
      <c r="Q411" s="332" t="e">
        <f>MATCH(D411,T411:AZ411,0)</f>
        <v>#N/A</v>
      </c>
      <c r="R411" s="358">
        <f t="shared" ref="R411:R416" si="113">_xlfn.IFNA(IF(D411&lt;&gt;"",VLOOKUP(D411,$C$544:$E$774,2,FALSE),0),0)</f>
        <v>0</v>
      </c>
      <c r="S411" s="358">
        <f t="shared" ref="S411:S416" si="114">_xlfn.IFNA(IF(D411&lt;&gt;"",VLOOKUP(D411,$C$544:$E$774,3,FALSE),0),0)</f>
        <v>0</v>
      </c>
      <c r="T411" s="333" t="str" cm="1">
        <f t="array" ref="T411">IF($C411&lt;&gt;"bitte wählen",INDEX(ListeLebensmittelIFEU,T$189+1,$P411),"")</f>
        <v/>
      </c>
      <c r="U411" s="334" t="str" cm="1">
        <f t="array" ref="U411">IF($C411&lt;&gt;"bitte wählen",INDEX(ListeLebensmittelIFEU,U$189+1,$P411),"")</f>
        <v/>
      </c>
      <c r="V411" s="334" t="str" cm="1">
        <f t="array" ref="V411">IF($C411&lt;&gt;"bitte wählen",INDEX(ListeLebensmittelIFEU,V$189+1,$P411),"")</f>
        <v/>
      </c>
      <c r="W411" s="334" t="str" cm="1">
        <f t="array" ref="W411">IF($C411&lt;&gt;"bitte wählen",INDEX(ListeLebensmittelIFEU,W$189+1,$P411),"")</f>
        <v/>
      </c>
      <c r="X411" s="334" t="str" cm="1">
        <f t="array" ref="X411">IF($C411&lt;&gt;"bitte wählen",INDEX(ListeLebensmittelIFEU,X$189+1,$P411),"")</f>
        <v/>
      </c>
      <c r="Y411" s="334" t="str" cm="1">
        <f t="array" ref="Y411">IF($C411&lt;&gt;"bitte wählen",INDEX(ListeLebensmittelIFEU,Y$189+1,$P411),"")</f>
        <v/>
      </c>
      <c r="Z411" s="334" t="str" cm="1">
        <f t="array" ref="Z411">IF($C411&lt;&gt;"bitte wählen",INDEX(ListeLebensmittelIFEU,Z$189+1,$P411),"")</f>
        <v/>
      </c>
      <c r="AA411" s="334" t="str" cm="1">
        <f t="array" ref="AA411">IF($C411&lt;&gt;"bitte wählen",INDEX(ListeLebensmittelIFEU,AA$189+1,$P411),"")</f>
        <v/>
      </c>
      <c r="AB411" s="334" t="str" cm="1">
        <f t="array" ref="AB411">IF($C411&lt;&gt;"bitte wählen",INDEX(ListeLebensmittelIFEU,AB$189+1,$P411),"")</f>
        <v/>
      </c>
      <c r="AC411" s="334" t="str" cm="1">
        <f t="array" ref="AC411">IF($C411&lt;&gt;"bitte wählen",INDEX(ListeLebensmittelIFEU,AC$189+1,$P411),"")</f>
        <v/>
      </c>
      <c r="AD411" s="334" t="str" cm="1">
        <f t="array" ref="AD411">IF($C411&lt;&gt;"bitte wählen",INDEX(ListeLebensmittelIFEU,AD$189+1,$P411),"")</f>
        <v/>
      </c>
      <c r="AE411" s="334" t="str" cm="1">
        <f t="array" ref="AE411">IF($C411&lt;&gt;"bitte wählen",INDEX(ListeLebensmittelIFEU,AE$189+1,$P411),"")</f>
        <v/>
      </c>
      <c r="AF411" s="334" t="str" cm="1">
        <f t="array" ref="AF411">IF($C411&lt;&gt;"bitte wählen",INDEX(ListeLebensmittelIFEU,AF$189+1,$P411),"")</f>
        <v/>
      </c>
      <c r="AG411" s="334" t="str" cm="1">
        <f t="array" ref="AG411">IF($C411&lt;&gt;"bitte wählen",INDEX(ListeLebensmittelIFEU,AG$189+1,$P411),"")</f>
        <v/>
      </c>
      <c r="AH411" s="334" t="str" cm="1">
        <f t="array" ref="AH411">IF($C411&lt;&gt;"bitte wählen",INDEX(ListeLebensmittelIFEU,AH$189+1,$P411),"")</f>
        <v/>
      </c>
      <c r="AI411" s="334" t="str" cm="1">
        <f t="array" ref="AI411">IF($C411&lt;&gt;"bitte wählen",INDEX(ListeLebensmittelIFEU,AI$189+1,$P411),"")</f>
        <v/>
      </c>
      <c r="AJ411" s="334" t="str" cm="1">
        <f t="array" ref="AJ411">IF($C411&lt;&gt;"bitte wählen",INDEX(ListeLebensmittelIFEU,AJ$189+1,$P411),"")</f>
        <v/>
      </c>
      <c r="AK411" s="334" t="str" cm="1">
        <f t="array" ref="AK411">IF($C411&lt;&gt;"bitte wählen",INDEX(ListeLebensmittelIFEU,AK$189+1,$P411),"")</f>
        <v/>
      </c>
      <c r="AL411" s="334" t="str" cm="1">
        <f t="array" ref="AL411">IF($C411&lt;&gt;"bitte wählen",INDEX(ListeLebensmittelIFEU,AL$189+1,$P411),"")</f>
        <v/>
      </c>
      <c r="AM411" s="334" t="str" cm="1">
        <f t="array" ref="AM411">IF($C411&lt;&gt;"bitte wählen",INDEX(ListeLebensmittelIFEU,AM$189+1,$P411),"")</f>
        <v/>
      </c>
      <c r="AN411" s="334" t="str" cm="1">
        <f t="array" ref="AN411">IF($C411&lt;&gt;"bitte wählen",INDEX(ListeLebensmittelIFEU,AN$189+1,$P411),"")</f>
        <v/>
      </c>
      <c r="AO411" s="334" t="str" cm="1">
        <f t="array" ref="AO411">IF($C411&lt;&gt;"bitte wählen",INDEX(ListeLebensmittelIFEU,AO$189+1,$P411),"")</f>
        <v/>
      </c>
      <c r="AP411" s="334" t="str" cm="1">
        <f t="array" ref="AP411">IF($C411&lt;&gt;"bitte wählen",INDEX(ListeLebensmittelIFEU,AP$189+1,$P411),"")</f>
        <v/>
      </c>
      <c r="AQ411" s="334" t="str" cm="1">
        <f t="array" ref="AQ411">IF($C411&lt;&gt;"bitte wählen",INDEX(ListeLebensmittelIFEU,AQ$189+1,$P411),"")</f>
        <v/>
      </c>
      <c r="AR411" s="334" t="str" cm="1">
        <f t="array" ref="AR411">IF($C411&lt;&gt;"bitte wählen",INDEX(ListeLebensmittelIFEU,AR$189+1,$P411),"")</f>
        <v/>
      </c>
      <c r="AS411" s="334" t="str" cm="1">
        <f t="array" ref="AS411">IF($C411&lt;&gt;"bitte wählen",INDEX(ListeLebensmittelIFEU,AS$189+1,$P411),"")</f>
        <v/>
      </c>
      <c r="AT411" s="334" t="str" cm="1">
        <f t="array" ref="AT411">IF($C411&lt;&gt;"bitte wählen",INDEX(ListeLebensmittelIFEU,AT$189+1,$P411),"")</f>
        <v/>
      </c>
      <c r="AU411" s="334" t="str" cm="1">
        <f t="array" ref="AU411">IF($C411&lt;&gt;"bitte wählen",INDEX(ListeLebensmittelIFEU,AU$189+1,$P411),"")</f>
        <v/>
      </c>
      <c r="AV411" s="334" t="str" cm="1">
        <f t="array" ref="AV411">IF($C411&lt;&gt;"bitte wählen",INDEX(ListeLebensmittelIFEU,AV$189+1,$P411),"")</f>
        <v/>
      </c>
      <c r="AW411" s="334" t="str" cm="1">
        <f t="array" ref="AW411">IF($C411&lt;&gt;"bitte wählen",INDEX(ListeLebensmittelIFEU,AW$189+1,$P411),"")</f>
        <v/>
      </c>
      <c r="AX411" s="334" t="str" cm="1">
        <f t="array" ref="AX411">IF($C411&lt;&gt;"bitte wählen",INDEX(ListeLebensmittelIFEU,AX$189+1,$P411),"")</f>
        <v/>
      </c>
      <c r="AY411" s="334" t="str" cm="1">
        <f t="array" ref="AY411">IF($C411&lt;&gt;"bitte wählen",INDEX(ListeLebensmittelIFEU,AY$189+1,$P411),"")</f>
        <v/>
      </c>
      <c r="AZ411" s="335" t="str" cm="1">
        <f t="array" ref="AZ411">IF($C411&lt;&gt;"bitte wählen",INDEX(ListeLebensmittelIFEU,AZ$189+1,$P411),"")</f>
        <v/>
      </c>
    </row>
    <row r="412" spans="1:52" x14ac:dyDescent="0.3">
      <c r="B412" t="s">
        <v>327</v>
      </c>
      <c r="C412" s="471" t="s">
        <v>27</v>
      </c>
      <c r="D412" s="472"/>
      <c r="E412" s="349"/>
      <c r="F412" s="473" t="s">
        <v>12</v>
      </c>
      <c r="G412" s="350" t="str">
        <f t="shared" si="110"/>
        <v/>
      </c>
      <c r="H412" s="293" t="str">
        <f t="shared" si="111"/>
        <v/>
      </c>
      <c r="P412" s="333">
        <f t="shared" si="112"/>
        <v>22</v>
      </c>
      <c r="Q412" s="334" t="e">
        <f t="shared" ref="Q412:Q416" si="115">MATCH(D412,T412:AZ412,0)</f>
        <v>#N/A</v>
      </c>
      <c r="R412" s="359">
        <f t="shared" si="113"/>
        <v>0</v>
      </c>
      <c r="S412" s="380">
        <f t="shared" si="114"/>
        <v>0</v>
      </c>
      <c r="T412" s="333" t="str" cm="1">
        <f t="array" ref="T412">IF($C412&lt;&gt;"bitte wählen",INDEX(ListeLebensmittelIFEU,T$189+1,$P412),"")</f>
        <v/>
      </c>
      <c r="U412" s="334" t="str" cm="1">
        <f t="array" ref="U412">IF($C412&lt;&gt;"bitte wählen",INDEX(ListeLebensmittelIFEU,U$189+1,$P412),"")</f>
        <v/>
      </c>
      <c r="V412" s="334" t="str" cm="1">
        <f t="array" ref="V412">IF($C412&lt;&gt;"bitte wählen",INDEX(ListeLebensmittelIFEU,V$189+1,$P412),"")</f>
        <v/>
      </c>
      <c r="W412" s="334" t="str" cm="1">
        <f t="array" ref="W412">IF($C412&lt;&gt;"bitte wählen",INDEX(ListeLebensmittelIFEU,W$189+1,$P412),"")</f>
        <v/>
      </c>
      <c r="X412" s="334" t="str" cm="1">
        <f t="array" ref="X412">IF($C412&lt;&gt;"bitte wählen",INDEX(ListeLebensmittelIFEU,X$189+1,$P412),"")</f>
        <v/>
      </c>
      <c r="Y412" s="334" t="str" cm="1">
        <f t="array" ref="Y412">IF($C412&lt;&gt;"bitte wählen",INDEX(ListeLebensmittelIFEU,Y$189+1,$P412),"")</f>
        <v/>
      </c>
      <c r="Z412" s="334" t="str" cm="1">
        <f t="array" ref="Z412">IF($C412&lt;&gt;"bitte wählen",INDEX(ListeLebensmittelIFEU,Z$189+1,$P412),"")</f>
        <v/>
      </c>
      <c r="AA412" s="334" t="str" cm="1">
        <f t="array" ref="AA412">IF($C412&lt;&gt;"bitte wählen",INDEX(ListeLebensmittelIFEU,AA$189+1,$P412),"")</f>
        <v/>
      </c>
      <c r="AB412" s="334" t="str" cm="1">
        <f t="array" ref="AB412">IF($C412&lt;&gt;"bitte wählen",INDEX(ListeLebensmittelIFEU,AB$189+1,$P412),"")</f>
        <v/>
      </c>
      <c r="AC412" s="334" t="str" cm="1">
        <f t="array" ref="AC412">IF($C412&lt;&gt;"bitte wählen",INDEX(ListeLebensmittelIFEU,AC$189+1,$P412),"")</f>
        <v/>
      </c>
      <c r="AD412" s="334" t="str" cm="1">
        <f t="array" ref="AD412">IF($C412&lt;&gt;"bitte wählen",INDEX(ListeLebensmittelIFEU,AD$189+1,$P412),"")</f>
        <v/>
      </c>
      <c r="AE412" s="334" t="str" cm="1">
        <f t="array" ref="AE412">IF($C412&lt;&gt;"bitte wählen",INDEX(ListeLebensmittelIFEU,AE$189+1,$P412),"")</f>
        <v/>
      </c>
      <c r="AF412" s="334" t="str" cm="1">
        <f t="array" ref="AF412">IF($C412&lt;&gt;"bitte wählen",INDEX(ListeLebensmittelIFEU,AF$189+1,$P412),"")</f>
        <v/>
      </c>
      <c r="AG412" s="334" t="str" cm="1">
        <f t="array" ref="AG412">IF($C412&lt;&gt;"bitte wählen",INDEX(ListeLebensmittelIFEU,AG$189+1,$P412),"")</f>
        <v/>
      </c>
      <c r="AH412" s="334" t="str" cm="1">
        <f t="array" ref="AH412">IF($C412&lt;&gt;"bitte wählen",INDEX(ListeLebensmittelIFEU,AH$189+1,$P412),"")</f>
        <v/>
      </c>
      <c r="AI412" s="334" t="str" cm="1">
        <f t="array" ref="AI412">IF($C412&lt;&gt;"bitte wählen",INDEX(ListeLebensmittelIFEU,AI$189+1,$P412),"")</f>
        <v/>
      </c>
      <c r="AJ412" s="334" t="str" cm="1">
        <f t="array" ref="AJ412">IF($C412&lt;&gt;"bitte wählen",INDEX(ListeLebensmittelIFEU,AJ$189+1,$P412),"")</f>
        <v/>
      </c>
      <c r="AK412" s="334" t="str" cm="1">
        <f t="array" ref="AK412">IF($C412&lt;&gt;"bitte wählen",INDEX(ListeLebensmittelIFEU,AK$189+1,$P412),"")</f>
        <v/>
      </c>
      <c r="AL412" s="334" t="str" cm="1">
        <f t="array" ref="AL412">IF($C412&lt;&gt;"bitte wählen",INDEX(ListeLebensmittelIFEU,AL$189+1,$P412),"")</f>
        <v/>
      </c>
      <c r="AM412" s="334" t="str" cm="1">
        <f t="array" ref="AM412">IF($C412&lt;&gt;"bitte wählen",INDEX(ListeLebensmittelIFEU,AM$189+1,$P412),"")</f>
        <v/>
      </c>
      <c r="AN412" s="334" t="str" cm="1">
        <f t="array" ref="AN412">IF($C412&lt;&gt;"bitte wählen",INDEX(ListeLebensmittelIFEU,AN$189+1,$P412),"")</f>
        <v/>
      </c>
      <c r="AO412" s="334" t="str" cm="1">
        <f t="array" ref="AO412">IF($C412&lt;&gt;"bitte wählen",INDEX(ListeLebensmittelIFEU,AO$189+1,$P412),"")</f>
        <v/>
      </c>
      <c r="AP412" s="334" t="str" cm="1">
        <f t="array" ref="AP412">IF($C412&lt;&gt;"bitte wählen",INDEX(ListeLebensmittelIFEU,AP$189+1,$P412),"")</f>
        <v/>
      </c>
      <c r="AQ412" s="334" t="str" cm="1">
        <f t="array" ref="AQ412">IF($C412&lt;&gt;"bitte wählen",INDEX(ListeLebensmittelIFEU,AQ$189+1,$P412),"")</f>
        <v/>
      </c>
      <c r="AR412" s="334" t="str" cm="1">
        <f t="array" ref="AR412">IF($C412&lt;&gt;"bitte wählen",INDEX(ListeLebensmittelIFEU,AR$189+1,$P412),"")</f>
        <v/>
      </c>
      <c r="AS412" s="334" t="str" cm="1">
        <f t="array" ref="AS412">IF($C412&lt;&gt;"bitte wählen",INDEX(ListeLebensmittelIFEU,AS$189+1,$P412),"")</f>
        <v/>
      </c>
      <c r="AT412" s="334" t="str" cm="1">
        <f t="array" ref="AT412">IF($C412&lt;&gt;"bitte wählen",INDEX(ListeLebensmittelIFEU,AT$189+1,$P412),"")</f>
        <v/>
      </c>
      <c r="AU412" s="334" t="str" cm="1">
        <f t="array" ref="AU412">IF($C412&lt;&gt;"bitte wählen",INDEX(ListeLebensmittelIFEU,AU$189+1,$P412),"")</f>
        <v/>
      </c>
      <c r="AV412" s="334" t="str" cm="1">
        <f t="array" ref="AV412">IF($C412&lt;&gt;"bitte wählen",INDEX(ListeLebensmittelIFEU,AV$189+1,$P412),"")</f>
        <v/>
      </c>
      <c r="AW412" s="334" t="str" cm="1">
        <f t="array" ref="AW412">IF($C412&lt;&gt;"bitte wählen",INDEX(ListeLebensmittelIFEU,AW$189+1,$P412),"")</f>
        <v/>
      </c>
      <c r="AX412" s="334" t="str" cm="1">
        <f t="array" ref="AX412">IF($C412&lt;&gt;"bitte wählen",INDEX(ListeLebensmittelIFEU,AX$189+1,$P412),"")</f>
        <v/>
      </c>
      <c r="AY412" s="334" t="str" cm="1">
        <f t="array" ref="AY412">IF($C412&lt;&gt;"bitte wählen",INDEX(ListeLebensmittelIFEU,AY$189+1,$P412),"")</f>
        <v/>
      </c>
      <c r="AZ412" s="335" t="str" cm="1">
        <f t="array" ref="AZ412">IF($C412&lt;&gt;"bitte wählen",INDEX(ListeLebensmittelIFEU,AZ$189+1,$P412),"")</f>
        <v/>
      </c>
    </row>
    <row r="413" spans="1:52" x14ac:dyDescent="0.3">
      <c r="B413" t="s">
        <v>328</v>
      </c>
      <c r="C413" s="471" t="s">
        <v>27</v>
      </c>
      <c r="D413" s="472"/>
      <c r="E413" s="349"/>
      <c r="F413" s="473" t="s">
        <v>12</v>
      </c>
      <c r="G413" s="350" t="str">
        <f t="shared" si="110"/>
        <v/>
      </c>
      <c r="H413" s="293" t="str">
        <f t="shared" si="111"/>
        <v/>
      </c>
      <c r="P413" s="333">
        <f t="shared" si="112"/>
        <v>22</v>
      </c>
      <c r="Q413" s="334" t="e">
        <f t="shared" si="115"/>
        <v>#N/A</v>
      </c>
      <c r="R413" s="359">
        <f t="shared" si="113"/>
        <v>0</v>
      </c>
      <c r="S413" s="380">
        <f t="shared" si="114"/>
        <v>0</v>
      </c>
      <c r="T413" s="333" t="str" cm="1">
        <f t="array" ref="T413">IF($C413&lt;&gt;"bitte wählen",INDEX(ListeLebensmittelIFEU,T$189+1,$P413),"")</f>
        <v/>
      </c>
      <c r="U413" s="334" t="str" cm="1">
        <f t="array" ref="U413">IF($C413&lt;&gt;"bitte wählen",INDEX(ListeLebensmittelIFEU,U$189+1,$P413),"")</f>
        <v/>
      </c>
      <c r="V413" s="334" t="str" cm="1">
        <f t="array" ref="V413">IF($C413&lt;&gt;"bitte wählen",INDEX(ListeLebensmittelIFEU,V$189+1,$P413),"")</f>
        <v/>
      </c>
      <c r="W413" s="334" t="str" cm="1">
        <f t="array" ref="W413">IF($C413&lt;&gt;"bitte wählen",INDEX(ListeLebensmittelIFEU,W$189+1,$P413),"")</f>
        <v/>
      </c>
      <c r="X413" s="334" t="str" cm="1">
        <f t="array" ref="X413">IF($C413&lt;&gt;"bitte wählen",INDEX(ListeLebensmittelIFEU,X$189+1,$P413),"")</f>
        <v/>
      </c>
      <c r="Y413" s="334" t="str" cm="1">
        <f t="array" ref="Y413">IF($C413&lt;&gt;"bitte wählen",INDEX(ListeLebensmittelIFEU,Y$189+1,$P413),"")</f>
        <v/>
      </c>
      <c r="Z413" s="334" t="str" cm="1">
        <f t="array" ref="Z413">IF($C413&lt;&gt;"bitte wählen",INDEX(ListeLebensmittelIFEU,Z$189+1,$P413),"")</f>
        <v/>
      </c>
      <c r="AA413" s="334" t="str" cm="1">
        <f t="array" ref="AA413">IF($C413&lt;&gt;"bitte wählen",INDEX(ListeLebensmittelIFEU,AA$189+1,$P413),"")</f>
        <v/>
      </c>
      <c r="AB413" s="334" t="str" cm="1">
        <f t="array" ref="AB413">IF($C413&lt;&gt;"bitte wählen",INDEX(ListeLebensmittelIFEU,AB$189+1,$P413),"")</f>
        <v/>
      </c>
      <c r="AC413" s="334" t="str" cm="1">
        <f t="array" ref="AC413">IF($C413&lt;&gt;"bitte wählen",INDEX(ListeLebensmittelIFEU,AC$189+1,$P413),"")</f>
        <v/>
      </c>
      <c r="AD413" s="334" t="str" cm="1">
        <f t="array" ref="AD413">IF($C413&lt;&gt;"bitte wählen",INDEX(ListeLebensmittelIFEU,AD$189+1,$P413),"")</f>
        <v/>
      </c>
      <c r="AE413" s="334" t="str" cm="1">
        <f t="array" ref="AE413">IF($C413&lt;&gt;"bitte wählen",INDEX(ListeLebensmittelIFEU,AE$189+1,$P413),"")</f>
        <v/>
      </c>
      <c r="AF413" s="334" t="str" cm="1">
        <f t="array" ref="AF413">IF($C413&lt;&gt;"bitte wählen",INDEX(ListeLebensmittelIFEU,AF$189+1,$P413),"")</f>
        <v/>
      </c>
      <c r="AG413" s="334" t="str" cm="1">
        <f t="array" ref="AG413">IF($C413&lt;&gt;"bitte wählen",INDEX(ListeLebensmittelIFEU,AG$189+1,$P413),"")</f>
        <v/>
      </c>
      <c r="AH413" s="334" t="str" cm="1">
        <f t="array" ref="AH413">IF($C413&lt;&gt;"bitte wählen",INDEX(ListeLebensmittelIFEU,AH$189+1,$P413),"")</f>
        <v/>
      </c>
      <c r="AI413" s="334" t="str" cm="1">
        <f t="array" ref="AI413">IF($C413&lt;&gt;"bitte wählen",INDEX(ListeLebensmittelIFEU,AI$189+1,$P413),"")</f>
        <v/>
      </c>
      <c r="AJ413" s="334" t="str" cm="1">
        <f t="array" ref="AJ413">IF($C413&lt;&gt;"bitte wählen",INDEX(ListeLebensmittelIFEU,AJ$189+1,$P413),"")</f>
        <v/>
      </c>
      <c r="AK413" s="334" t="str" cm="1">
        <f t="array" ref="AK413">IF($C413&lt;&gt;"bitte wählen",INDEX(ListeLebensmittelIFEU,AK$189+1,$P413),"")</f>
        <v/>
      </c>
      <c r="AL413" s="334" t="str" cm="1">
        <f t="array" ref="AL413">IF($C413&lt;&gt;"bitte wählen",INDEX(ListeLebensmittelIFEU,AL$189+1,$P413),"")</f>
        <v/>
      </c>
      <c r="AM413" s="334" t="str" cm="1">
        <f t="array" ref="AM413">IF($C413&lt;&gt;"bitte wählen",INDEX(ListeLebensmittelIFEU,AM$189+1,$P413),"")</f>
        <v/>
      </c>
      <c r="AN413" s="334" t="str" cm="1">
        <f t="array" ref="AN413">IF($C413&lt;&gt;"bitte wählen",INDEX(ListeLebensmittelIFEU,AN$189+1,$P413),"")</f>
        <v/>
      </c>
      <c r="AO413" s="334" t="str" cm="1">
        <f t="array" ref="AO413">IF($C413&lt;&gt;"bitte wählen",INDEX(ListeLebensmittelIFEU,AO$189+1,$P413),"")</f>
        <v/>
      </c>
      <c r="AP413" s="334" t="str" cm="1">
        <f t="array" ref="AP413">IF($C413&lt;&gt;"bitte wählen",INDEX(ListeLebensmittelIFEU,AP$189+1,$P413),"")</f>
        <v/>
      </c>
      <c r="AQ413" s="334" t="str" cm="1">
        <f t="array" ref="AQ413">IF($C413&lt;&gt;"bitte wählen",INDEX(ListeLebensmittelIFEU,AQ$189+1,$P413),"")</f>
        <v/>
      </c>
      <c r="AR413" s="334" t="str" cm="1">
        <f t="array" ref="AR413">IF($C413&lt;&gt;"bitte wählen",INDEX(ListeLebensmittelIFEU,AR$189+1,$P413),"")</f>
        <v/>
      </c>
      <c r="AS413" s="334" t="str" cm="1">
        <f t="array" ref="AS413">IF($C413&lt;&gt;"bitte wählen",INDEX(ListeLebensmittelIFEU,AS$189+1,$P413),"")</f>
        <v/>
      </c>
      <c r="AT413" s="334" t="str" cm="1">
        <f t="array" ref="AT413">IF($C413&lt;&gt;"bitte wählen",INDEX(ListeLebensmittelIFEU,AT$189+1,$P413),"")</f>
        <v/>
      </c>
      <c r="AU413" s="334" t="str" cm="1">
        <f t="array" ref="AU413">IF($C413&lt;&gt;"bitte wählen",INDEX(ListeLebensmittelIFEU,AU$189+1,$P413),"")</f>
        <v/>
      </c>
      <c r="AV413" s="334" t="str" cm="1">
        <f t="array" ref="AV413">IF($C413&lt;&gt;"bitte wählen",INDEX(ListeLebensmittelIFEU,AV$189+1,$P413),"")</f>
        <v/>
      </c>
      <c r="AW413" s="334" t="str" cm="1">
        <f t="array" ref="AW413">IF($C413&lt;&gt;"bitte wählen",INDEX(ListeLebensmittelIFEU,AW$189+1,$P413),"")</f>
        <v/>
      </c>
      <c r="AX413" s="334" t="str" cm="1">
        <f t="array" ref="AX413">IF($C413&lt;&gt;"bitte wählen",INDEX(ListeLebensmittelIFEU,AX$189+1,$P413),"")</f>
        <v/>
      </c>
      <c r="AY413" s="334" t="str" cm="1">
        <f t="array" ref="AY413">IF($C413&lt;&gt;"bitte wählen",INDEX(ListeLebensmittelIFEU,AY$189+1,$P413),"")</f>
        <v/>
      </c>
      <c r="AZ413" s="335" t="str" cm="1">
        <f t="array" ref="AZ413">IF($C413&lt;&gt;"bitte wählen",INDEX(ListeLebensmittelIFEU,AZ$189+1,$P413),"")</f>
        <v/>
      </c>
    </row>
    <row r="414" spans="1:52" x14ac:dyDescent="0.3">
      <c r="B414" t="s">
        <v>329</v>
      </c>
      <c r="C414" s="471" t="s">
        <v>27</v>
      </c>
      <c r="D414" s="472" t="s">
        <v>1169</v>
      </c>
      <c r="E414" s="349"/>
      <c r="F414" s="473" t="s">
        <v>12</v>
      </c>
      <c r="G414" s="350" t="str">
        <f t="shared" si="110"/>
        <v/>
      </c>
      <c r="H414" s="293" t="str">
        <f t="shared" si="111"/>
        <v/>
      </c>
      <c r="P414" s="333">
        <f t="shared" si="112"/>
        <v>22</v>
      </c>
      <c r="Q414" s="334">
        <f t="shared" si="115"/>
        <v>1</v>
      </c>
      <c r="R414" s="359">
        <f t="shared" si="113"/>
        <v>0</v>
      </c>
      <c r="S414" s="380">
        <f t="shared" si="114"/>
        <v>0</v>
      </c>
      <c r="T414" s="333" t="str" cm="1">
        <f t="array" ref="T414">IF($C414&lt;&gt;"bitte wählen",INDEX(ListeLebensmittelIFEU,T$189+1,$P414),"")</f>
        <v/>
      </c>
      <c r="U414" s="334" t="str" cm="1">
        <f t="array" ref="U414">IF($C414&lt;&gt;"bitte wählen",INDEX(ListeLebensmittelIFEU,U$189+1,$P414),"")</f>
        <v/>
      </c>
      <c r="V414" s="334" t="str" cm="1">
        <f t="array" ref="V414">IF($C414&lt;&gt;"bitte wählen",INDEX(ListeLebensmittelIFEU,V$189+1,$P414),"")</f>
        <v/>
      </c>
      <c r="W414" s="334" t="str" cm="1">
        <f t="array" ref="W414">IF($C414&lt;&gt;"bitte wählen",INDEX(ListeLebensmittelIFEU,W$189+1,$P414),"")</f>
        <v/>
      </c>
      <c r="X414" s="334" t="str" cm="1">
        <f t="array" ref="X414">IF($C414&lt;&gt;"bitte wählen",INDEX(ListeLebensmittelIFEU,X$189+1,$P414),"")</f>
        <v/>
      </c>
      <c r="Y414" s="334" t="str" cm="1">
        <f t="array" ref="Y414">IF($C414&lt;&gt;"bitte wählen",INDEX(ListeLebensmittelIFEU,Y$189+1,$P414),"")</f>
        <v/>
      </c>
      <c r="Z414" s="334" t="str" cm="1">
        <f t="array" ref="Z414">IF($C414&lt;&gt;"bitte wählen",INDEX(ListeLebensmittelIFEU,Z$189+1,$P414),"")</f>
        <v/>
      </c>
      <c r="AA414" s="334" t="str" cm="1">
        <f t="array" ref="AA414">IF($C414&lt;&gt;"bitte wählen",INDEX(ListeLebensmittelIFEU,AA$189+1,$P414),"")</f>
        <v/>
      </c>
      <c r="AB414" s="334" t="str" cm="1">
        <f t="array" ref="AB414">IF($C414&lt;&gt;"bitte wählen",INDEX(ListeLebensmittelIFEU,AB$189+1,$P414),"")</f>
        <v/>
      </c>
      <c r="AC414" s="334" t="str" cm="1">
        <f t="array" ref="AC414">IF($C414&lt;&gt;"bitte wählen",INDEX(ListeLebensmittelIFEU,AC$189+1,$P414),"")</f>
        <v/>
      </c>
      <c r="AD414" s="334" t="str" cm="1">
        <f t="array" ref="AD414">IF($C414&lt;&gt;"bitte wählen",INDEX(ListeLebensmittelIFEU,AD$189+1,$P414),"")</f>
        <v/>
      </c>
      <c r="AE414" s="334" t="str" cm="1">
        <f t="array" ref="AE414">IF($C414&lt;&gt;"bitte wählen",INDEX(ListeLebensmittelIFEU,AE$189+1,$P414),"")</f>
        <v/>
      </c>
      <c r="AF414" s="334" t="str" cm="1">
        <f t="array" ref="AF414">IF($C414&lt;&gt;"bitte wählen",INDEX(ListeLebensmittelIFEU,AF$189+1,$P414),"")</f>
        <v/>
      </c>
      <c r="AG414" s="334" t="str" cm="1">
        <f t="array" ref="AG414">IF($C414&lt;&gt;"bitte wählen",INDEX(ListeLebensmittelIFEU,AG$189+1,$P414),"")</f>
        <v/>
      </c>
      <c r="AH414" s="334" t="str" cm="1">
        <f t="array" ref="AH414">IF($C414&lt;&gt;"bitte wählen",INDEX(ListeLebensmittelIFEU,AH$189+1,$P414),"")</f>
        <v/>
      </c>
      <c r="AI414" s="334" t="str" cm="1">
        <f t="array" ref="AI414">IF($C414&lt;&gt;"bitte wählen",INDEX(ListeLebensmittelIFEU,AI$189+1,$P414),"")</f>
        <v/>
      </c>
      <c r="AJ414" s="334" t="str" cm="1">
        <f t="array" ref="AJ414">IF($C414&lt;&gt;"bitte wählen",INDEX(ListeLebensmittelIFEU,AJ$189+1,$P414),"")</f>
        <v/>
      </c>
      <c r="AK414" s="334" t="str" cm="1">
        <f t="array" ref="AK414">IF($C414&lt;&gt;"bitte wählen",INDEX(ListeLebensmittelIFEU,AK$189+1,$P414),"")</f>
        <v/>
      </c>
      <c r="AL414" s="334" t="str" cm="1">
        <f t="array" ref="AL414">IF($C414&lt;&gt;"bitte wählen",INDEX(ListeLebensmittelIFEU,AL$189+1,$P414),"")</f>
        <v/>
      </c>
      <c r="AM414" s="334" t="str" cm="1">
        <f t="array" ref="AM414">IF($C414&lt;&gt;"bitte wählen",INDEX(ListeLebensmittelIFEU,AM$189+1,$P414),"")</f>
        <v/>
      </c>
      <c r="AN414" s="334" t="str" cm="1">
        <f t="array" ref="AN414">IF($C414&lt;&gt;"bitte wählen",INDEX(ListeLebensmittelIFEU,AN$189+1,$P414),"")</f>
        <v/>
      </c>
      <c r="AO414" s="334" t="str" cm="1">
        <f t="array" ref="AO414">IF($C414&lt;&gt;"bitte wählen",INDEX(ListeLebensmittelIFEU,AO$189+1,$P414),"")</f>
        <v/>
      </c>
      <c r="AP414" s="334" t="str" cm="1">
        <f t="array" ref="AP414">IF($C414&lt;&gt;"bitte wählen",INDEX(ListeLebensmittelIFEU,AP$189+1,$P414),"")</f>
        <v/>
      </c>
      <c r="AQ414" s="334" t="str" cm="1">
        <f t="array" ref="AQ414">IF($C414&lt;&gt;"bitte wählen",INDEX(ListeLebensmittelIFEU,AQ$189+1,$P414),"")</f>
        <v/>
      </c>
      <c r="AR414" s="334" t="str" cm="1">
        <f t="array" ref="AR414">IF($C414&lt;&gt;"bitte wählen",INDEX(ListeLebensmittelIFEU,AR$189+1,$P414),"")</f>
        <v/>
      </c>
      <c r="AS414" s="334" t="str" cm="1">
        <f t="array" ref="AS414">IF($C414&lt;&gt;"bitte wählen",INDEX(ListeLebensmittelIFEU,AS$189+1,$P414),"")</f>
        <v/>
      </c>
      <c r="AT414" s="334" t="str" cm="1">
        <f t="array" ref="AT414">IF($C414&lt;&gt;"bitte wählen",INDEX(ListeLebensmittelIFEU,AT$189+1,$P414),"")</f>
        <v/>
      </c>
      <c r="AU414" s="334" t="str" cm="1">
        <f t="array" ref="AU414">IF($C414&lt;&gt;"bitte wählen",INDEX(ListeLebensmittelIFEU,AU$189+1,$P414),"")</f>
        <v/>
      </c>
      <c r="AV414" s="334" t="str" cm="1">
        <f t="array" ref="AV414">IF($C414&lt;&gt;"bitte wählen",INDEX(ListeLebensmittelIFEU,AV$189+1,$P414),"")</f>
        <v/>
      </c>
      <c r="AW414" s="334" t="str" cm="1">
        <f t="array" ref="AW414">IF($C414&lt;&gt;"bitte wählen",INDEX(ListeLebensmittelIFEU,AW$189+1,$P414),"")</f>
        <v/>
      </c>
      <c r="AX414" s="334" t="str" cm="1">
        <f t="array" ref="AX414">IF($C414&lt;&gt;"bitte wählen",INDEX(ListeLebensmittelIFEU,AX$189+1,$P414),"")</f>
        <v/>
      </c>
      <c r="AY414" s="334" t="str" cm="1">
        <f t="array" ref="AY414">IF($C414&lt;&gt;"bitte wählen",INDEX(ListeLebensmittelIFEU,AY$189+1,$P414),"")</f>
        <v/>
      </c>
      <c r="AZ414" s="335" t="str" cm="1">
        <f t="array" ref="AZ414">IF($C414&lt;&gt;"bitte wählen",INDEX(ListeLebensmittelIFEU,AZ$189+1,$P414),"")</f>
        <v/>
      </c>
    </row>
    <row r="415" spans="1:52" x14ac:dyDescent="0.3">
      <c r="B415" t="s">
        <v>330</v>
      </c>
      <c r="C415" s="471" t="s">
        <v>27</v>
      </c>
      <c r="D415" s="472"/>
      <c r="E415" s="349"/>
      <c r="F415" s="473" t="s">
        <v>12</v>
      </c>
      <c r="G415" s="350" t="str">
        <f t="shared" si="110"/>
        <v/>
      </c>
      <c r="H415" s="293" t="str">
        <f t="shared" si="111"/>
        <v/>
      </c>
      <c r="P415" s="333">
        <f t="shared" si="112"/>
        <v>22</v>
      </c>
      <c r="Q415" s="334" t="e">
        <f t="shared" si="115"/>
        <v>#N/A</v>
      </c>
      <c r="R415" s="359">
        <f t="shared" si="113"/>
        <v>0</v>
      </c>
      <c r="S415" s="380">
        <f t="shared" si="114"/>
        <v>0</v>
      </c>
      <c r="T415" s="333" t="str" cm="1">
        <f t="array" ref="T415">IF($C415&lt;&gt;"bitte wählen",INDEX(ListeLebensmittelIFEU,T$189+1,$P415),"")</f>
        <v/>
      </c>
      <c r="U415" s="334" t="str" cm="1">
        <f t="array" ref="U415">IF($C415&lt;&gt;"bitte wählen",INDEX(ListeLebensmittelIFEU,U$189+1,$P415),"")</f>
        <v/>
      </c>
      <c r="V415" s="334" t="str" cm="1">
        <f t="array" ref="V415">IF($C415&lt;&gt;"bitte wählen",INDEX(ListeLebensmittelIFEU,V$189+1,$P415),"")</f>
        <v/>
      </c>
      <c r="W415" s="334" t="str" cm="1">
        <f t="array" ref="W415">IF($C415&lt;&gt;"bitte wählen",INDEX(ListeLebensmittelIFEU,W$189+1,$P415),"")</f>
        <v/>
      </c>
      <c r="X415" s="334" t="str" cm="1">
        <f t="array" ref="X415">IF($C415&lt;&gt;"bitte wählen",INDEX(ListeLebensmittelIFEU,X$189+1,$P415),"")</f>
        <v/>
      </c>
      <c r="Y415" s="334" t="str" cm="1">
        <f t="array" ref="Y415">IF($C415&lt;&gt;"bitte wählen",INDEX(ListeLebensmittelIFEU,Y$189+1,$P415),"")</f>
        <v/>
      </c>
      <c r="Z415" s="334" t="str" cm="1">
        <f t="array" ref="Z415">IF($C415&lt;&gt;"bitte wählen",INDEX(ListeLebensmittelIFEU,Z$189+1,$P415),"")</f>
        <v/>
      </c>
      <c r="AA415" s="334" t="str" cm="1">
        <f t="array" ref="AA415">IF($C415&lt;&gt;"bitte wählen",INDEX(ListeLebensmittelIFEU,AA$189+1,$P415),"")</f>
        <v/>
      </c>
      <c r="AB415" s="334" t="str" cm="1">
        <f t="array" ref="AB415">IF($C415&lt;&gt;"bitte wählen",INDEX(ListeLebensmittelIFEU,AB$189+1,$P415),"")</f>
        <v/>
      </c>
      <c r="AC415" s="334" t="str" cm="1">
        <f t="array" ref="AC415">IF($C415&lt;&gt;"bitte wählen",INDEX(ListeLebensmittelIFEU,AC$189+1,$P415),"")</f>
        <v/>
      </c>
      <c r="AD415" s="334" t="str" cm="1">
        <f t="array" ref="AD415">IF($C415&lt;&gt;"bitte wählen",INDEX(ListeLebensmittelIFEU,AD$189+1,$P415),"")</f>
        <v/>
      </c>
      <c r="AE415" s="334" t="str" cm="1">
        <f t="array" ref="AE415">IF($C415&lt;&gt;"bitte wählen",INDEX(ListeLebensmittelIFEU,AE$189+1,$P415),"")</f>
        <v/>
      </c>
      <c r="AF415" s="334" t="str" cm="1">
        <f t="array" ref="AF415">IF($C415&lt;&gt;"bitte wählen",INDEX(ListeLebensmittelIFEU,AF$189+1,$P415),"")</f>
        <v/>
      </c>
      <c r="AG415" s="334" t="str" cm="1">
        <f t="array" ref="AG415">IF($C415&lt;&gt;"bitte wählen",INDEX(ListeLebensmittelIFEU,AG$189+1,$P415),"")</f>
        <v/>
      </c>
      <c r="AH415" s="334" t="str" cm="1">
        <f t="array" ref="AH415">IF($C415&lt;&gt;"bitte wählen",INDEX(ListeLebensmittelIFEU,AH$189+1,$P415),"")</f>
        <v/>
      </c>
      <c r="AI415" s="334" t="str" cm="1">
        <f t="array" ref="AI415">IF($C415&lt;&gt;"bitte wählen",INDEX(ListeLebensmittelIFEU,AI$189+1,$P415),"")</f>
        <v/>
      </c>
      <c r="AJ415" s="334" t="str" cm="1">
        <f t="array" ref="AJ415">IF($C415&lt;&gt;"bitte wählen",INDEX(ListeLebensmittelIFEU,AJ$189+1,$P415),"")</f>
        <v/>
      </c>
      <c r="AK415" s="334" t="str" cm="1">
        <f t="array" ref="AK415">IF($C415&lt;&gt;"bitte wählen",INDEX(ListeLebensmittelIFEU,AK$189+1,$P415),"")</f>
        <v/>
      </c>
      <c r="AL415" s="334" t="str" cm="1">
        <f t="array" ref="AL415">IF($C415&lt;&gt;"bitte wählen",INDEX(ListeLebensmittelIFEU,AL$189+1,$P415),"")</f>
        <v/>
      </c>
      <c r="AM415" s="334" t="str" cm="1">
        <f t="array" ref="AM415">IF($C415&lt;&gt;"bitte wählen",INDEX(ListeLebensmittelIFEU,AM$189+1,$P415),"")</f>
        <v/>
      </c>
      <c r="AN415" s="334" t="str" cm="1">
        <f t="array" ref="AN415">IF($C415&lt;&gt;"bitte wählen",INDEX(ListeLebensmittelIFEU,AN$189+1,$P415),"")</f>
        <v/>
      </c>
      <c r="AO415" s="334" t="str" cm="1">
        <f t="array" ref="AO415">IF($C415&lt;&gt;"bitte wählen",INDEX(ListeLebensmittelIFEU,AO$189+1,$P415),"")</f>
        <v/>
      </c>
      <c r="AP415" s="334" t="str" cm="1">
        <f t="array" ref="AP415">IF($C415&lt;&gt;"bitte wählen",INDEX(ListeLebensmittelIFEU,AP$189+1,$P415),"")</f>
        <v/>
      </c>
      <c r="AQ415" s="334" t="str" cm="1">
        <f t="array" ref="AQ415">IF($C415&lt;&gt;"bitte wählen",INDEX(ListeLebensmittelIFEU,AQ$189+1,$P415),"")</f>
        <v/>
      </c>
      <c r="AR415" s="334" t="str" cm="1">
        <f t="array" ref="AR415">IF($C415&lt;&gt;"bitte wählen",INDEX(ListeLebensmittelIFEU,AR$189+1,$P415),"")</f>
        <v/>
      </c>
      <c r="AS415" s="334" t="str" cm="1">
        <f t="array" ref="AS415">IF($C415&lt;&gt;"bitte wählen",INDEX(ListeLebensmittelIFEU,AS$189+1,$P415),"")</f>
        <v/>
      </c>
      <c r="AT415" s="334" t="str" cm="1">
        <f t="array" ref="AT415">IF($C415&lt;&gt;"bitte wählen",INDEX(ListeLebensmittelIFEU,AT$189+1,$P415),"")</f>
        <v/>
      </c>
      <c r="AU415" s="334" t="str" cm="1">
        <f t="array" ref="AU415">IF($C415&lt;&gt;"bitte wählen",INDEX(ListeLebensmittelIFEU,AU$189+1,$P415),"")</f>
        <v/>
      </c>
      <c r="AV415" s="334" t="str" cm="1">
        <f t="array" ref="AV415">IF($C415&lt;&gt;"bitte wählen",INDEX(ListeLebensmittelIFEU,AV$189+1,$P415),"")</f>
        <v/>
      </c>
      <c r="AW415" s="334" t="str" cm="1">
        <f t="array" ref="AW415">IF($C415&lt;&gt;"bitte wählen",INDEX(ListeLebensmittelIFEU,AW$189+1,$P415),"")</f>
        <v/>
      </c>
      <c r="AX415" s="334" t="str" cm="1">
        <f t="array" ref="AX415">IF($C415&lt;&gt;"bitte wählen",INDEX(ListeLebensmittelIFEU,AX$189+1,$P415),"")</f>
        <v/>
      </c>
      <c r="AY415" s="334" t="str" cm="1">
        <f t="array" ref="AY415">IF($C415&lt;&gt;"bitte wählen",INDEX(ListeLebensmittelIFEU,AY$189+1,$P415),"")</f>
        <v/>
      </c>
      <c r="AZ415" s="335" t="str" cm="1">
        <f t="array" ref="AZ415">IF($C415&lt;&gt;"bitte wählen",INDEX(ListeLebensmittelIFEU,AZ$189+1,$P415),"")</f>
        <v/>
      </c>
    </row>
    <row r="416" spans="1:52" x14ac:dyDescent="0.3">
      <c r="B416" t="s">
        <v>398</v>
      </c>
      <c r="C416" s="471" t="s">
        <v>27</v>
      </c>
      <c r="D416" s="472"/>
      <c r="E416" s="349"/>
      <c r="F416" s="473" t="s">
        <v>12</v>
      </c>
      <c r="G416" s="350" t="str">
        <f t="shared" si="110"/>
        <v/>
      </c>
      <c r="H416" s="293" t="str">
        <f t="shared" si="111"/>
        <v/>
      </c>
      <c r="P416" s="336">
        <f t="shared" si="112"/>
        <v>22</v>
      </c>
      <c r="Q416" s="337" t="e">
        <f t="shared" si="115"/>
        <v>#N/A</v>
      </c>
      <c r="R416" s="382">
        <f t="shared" si="113"/>
        <v>0</v>
      </c>
      <c r="S416" s="381">
        <f t="shared" si="114"/>
        <v>0</v>
      </c>
      <c r="T416" s="336" t="str" cm="1">
        <f t="array" ref="T416">IF($C416&lt;&gt;"bitte wählen",INDEX(ListeLebensmittelIFEU,T$189+1,$P416),"")</f>
        <v/>
      </c>
      <c r="U416" s="337" t="str" cm="1">
        <f t="array" ref="U416">IF($C416&lt;&gt;"bitte wählen",INDEX(ListeLebensmittelIFEU,U$189+1,$P416),"")</f>
        <v/>
      </c>
      <c r="V416" s="337" t="str" cm="1">
        <f t="array" ref="V416">IF($C416&lt;&gt;"bitte wählen",INDEX(ListeLebensmittelIFEU,V$189+1,$P416),"")</f>
        <v/>
      </c>
      <c r="W416" s="337" t="str" cm="1">
        <f t="array" ref="W416">IF($C416&lt;&gt;"bitte wählen",INDEX(ListeLebensmittelIFEU,W$189+1,$P416),"")</f>
        <v/>
      </c>
      <c r="X416" s="337" t="str" cm="1">
        <f t="array" ref="X416">IF($C416&lt;&gt;"bitte wählen",INDEX(ListeLebensmittelIFEU,X$189+1,$P416),"")</f>
        <v/>
      </c>
      <c r="Y416" s="337" t="str" cm="1">
        <f t="array" ref="Y416">IF($C416&lt;&gt;"bitte wählen",INDEX(ListeLebensmittelIFEU,Y$189+1,$P416),"")</f>
        <v/>
      </c>
      <c r="Z416" s="337" t="str" cm="1">
        <f t="array" ref="Z416">IF($C416&lt;&gt;"bitte wählen",INDEX(ListeLebensmittelIFEU,Z$189+1,$P416),"")</f>
        <v/>
      </c>
      <c r="AA416" s="337" t="str" cm="1">
        <f t="array" ref="AA416">IF($C416&lt;&gt;"bitte wählen",INDEX(ListeLebensmittelIFEU,AA$189+1,$P416),"")</f>
        <v/>
      </c>
      <c r="AB416" s="337" t="str" cm="1">
        <f t="array" ref="AB416">IF($C416&lt;&gt;"bitte wählen",INDEX(ListeLebensmittelIFEU,AB$189+1,$P416),"")</f>
        <v/>
      </c>
      <c r="AC416" s="337" t="str" cm="1">
        <f t="array" ref="AC416">IF($C416&lt;&gt;"bitte wählen",INDEX(ListeLebensmittelIFEU,AC$189+1,$P416),"")</f>
        <v/>
      </c>
      <c r="AD416" s="337" t="str" cm="1">
        <f t="array" ref="AD416">IF($C416&lt;&gt;"bitte wählen",INDEX(ListeLebensmittelIFEU,AD$189+1,$P416),"")</f>
        <v/>
      </c>
      <c r="AE416" s="337" t="str" cm="1">
        <f t="array" ref="AE416">IF($C416&lt;&gt;"bitte wählen",INDEX(ListeLebensmittelIFEU,AE$189+1,$P416),"")</f>
        <v/>
      </c>
      <c r="AF416" s="337" t="str" cm="1">
        <f t="array" ref="AF416">IF($C416&lt;&gt;"bitte wählen",INDEX(ListeLebensmittelIFEU,AF$189+1,$P416),"")</f>
        <v/>
      </c>
      <c r="AG416" s="337" t="str" cm="1">
        <f t="array" ref="AG416">IF($C416&lt;&gt;"bitte wählen",INDEX(ListeLebensmittelIFEU,AG$189+1,$P416),"")</f>
        <v/>
      </c>
      <c r="AH416" s="337" t="str" cm="1">
        <f t="array" ref="AH416">IF($C416&lt;&gt;"bitte wählen",INDEX(ListeLebensmittelIFEU,AH$189+1,$P416),"")</f>
        <v/>
      </c>
      <c r="AI416" s="337" t="str" cm="1">
        <f t="array" ref="AI416">IF($C416&lt;&gt;"bitte wählen",INDEX(ListeLebensmittelIFEU,AI$189+1,$P416),"")</f>
        <v/>
      </c>
      <c r="AJ416" s="337" t="str" cm="1">
        <f t="array" ref="AJ416">IF($C416&lt;&gt;"bitte wählen",INDEX(ListeLebensmittelIFEU,AJ$189+1,$P416),"")</f>
        <v/>
      </c>
      <c r="AK416" s="337" t="str" cm="1">
        <f t="array" ref="AK416">IF($C416&lt;&gt;"bitte wählen",INDEX(ListeLebensmittelIFEU,AK$189+1,$P416),"")</f>
        <v/>
      </c>
      <c r="AL416" s="337" t="str" cm="1">
        <f t="array" ref="AL416">IF($C416&lt;&gt;"bitte wählen",INDEX(ListeLebensmittelIFEU,AL$189+1,$P416),"")</f>
        <v/>
      </c>
      <c r="AM416" s="337" t="str" cm="1">
        <f t="array" ref="AM416">IF($C416&lt;&gt;"bitte wählen",INDEX(ListeLebensmittelIFEU,AM$189+1,$P416),"")</f>
        <v/>
      </c>
      <c r="AN416" s="337" t="str" cm="1">
        <f t="array" ref="AN416">IF($C416&lt;&gt;"bitte wählen",INDEX(ListeLebensmittelIFEU,AN$189+1,$P416),"")</f>
        <v/>
      </c>
      <c r="AO416" s="337" t="str" cm="1">
        <f t="array" ref="AO416">IF($C416&lt;&gt;"bitte wählen",INDEX(ListeLebensmittelIFEU,AO$189+1,$P416),"")</f>
        <v/>
      </c>
      <c r="AP416" s="337" t="str" cm="1">
        <f t="array" ref="AP416">IF($C416&lt;&gt;"bitte wählen",INDEX(ListeLebensmittelIFEU,AP$189+1,$P416),"")</f>
        <v/>
      </c>
      <c r="AQ416" s="337" t="str" cm="1">
        <f t="array" ref="AQ416">IF($C416&lt;&gt;"bitte wählen",INDEX(ListeLebensmittelIFEU,AQ$189+1,$P416),"")</f>
        <v/>
      </c>
      <c r="AR416" s="337" t="str" cm="1">
        <f t="array" ref="AR416">IF($C416&lt;&gt;"bitte wählen",INDEX(ListeLebensmittelIFEU,AR$189+1,$P416),"")</f>
        <v/>
      </c>
      <c r="AS416" s="337" t="str" cm="1">
        <f t="array" ref="AS416">IF($C416&lt;&gt;"bitte wählen",INDEX(ListeLebensmittelIFEU,AS$189+1,$P416),"")</f>
        <v/>
      </c>
      <c r="AT416" s="337" t="str" cm="1">
        <f t="array" ref="AT416">IF($C416&lt;&gt;"bitte wählen",INDEX(ListeLebensmittelIFEU,AT$189+1,$P416),"")</f>
        <v/>
      </c>
      <c r="AU416" s="337" t="str" cm="1">
        <f t="array" ref="AU416">IF($C416&lt;&gt;"bitte wählen",INDEX(ListeLebensmittelIFEU,AU$189+1,$P416),"")</f>
        <v/>
      </c>
      <c r="AV416" s="337" t="str" cm="1">
        <f t="array" ref="AV416">IF($C416&lt;&gt;"bitte wählen",INDEX(ListeLebensmittelIFEU,AV$189+1,$P416),"")</f>
        <v/>
      </c>
      <c r="AW416" s="337" t="str" cm="1">
        <f t="array" ref="AW416">IF($C416&lt;&gt;"bitte wählen",INDEX(ListeLebensmittelIFEU,AW$189+1,$P416),"")</f>
        <v/>
      </c>
      <c r="AX416" s="337" t="str" cm="1">
        <f t="array" ref="AX416">IF($C416&lt;&gt;"bitte wählen",INDEX(ListeLebensmittelIFEU,AX$189+1,$P416),"")</f>
        <v/>
      </c>
      <c r="AY416" s="337" t="str" cm="1">
        <f t="array" ref="AY416">IF($C416&lt;&gt;"bitte wählen",INDEX(ListeLebensmittelIFEU,AY$189+1,$P416),"")</f>
        <v/>
      </c>
      <c r="AZ416" s="338" t="str" cm="1">
        <f t="array" ref="AZ416">IF($C416&lt;&gt;"bitte wählen",INDEX(ListeLebensmittelIFEU,AZ$189+1,$P416),"")</f>
        <v/>
      </c>
    </row>
    <row r="417" spans="1:52" x14ac:dyDescent="0.3">
      <c r="B417" s="105" t="str">
        <f>IF(R417,IF(E417/IF(D409="",1,D409)&lt;GewichtMittagessenMin,"Hinweis: Dies scheint eine relativ kleine Portion zu sein",IF(E417/IF(D409="",1,D409)&gt;GewichtMittagessenMax,"Hinweis: Dies scheint eine relativ große Portion zu sein","")),"")</f>
        <v/>
      </c>
      <c r="C417" s="78"/>
      <c r="D417" s="78"/>
      <c r="E417" s="355">
        <f>SUM(E411:E416)-SUMIF(C411:C416,"Getränke",E411:E416)</f>
        <v>0</v>
      </c>
      <c r="G417" s="15" t="s">
        <v>622</v>
      </c>
      <c r="H417" s="293">
        <f>SUM(H411:H416)</f>
        <v>0</v>
      </c>
      <c r="Q417" s="383" t="s">
        <v>1030</v>
      </c>
      <c r="R417" s="386" t="b">
        <f>IF(SUM(R411:R416)&gt;0,TRUE,FALSE)</f>
        <v>0</v>
      </c>
      <c r="S417" s="383">
        <f>SUM(S411:S416)</f>
        <v>0</v>
      </c>
      <c r="T417" s="383" t="s">
        <v>1029</v>
      </c>
      <c r="U417" s="383" t="str">
        <f>IF(R417,IF(S417&gt;9,10,IF(S417&gt;0,1,0)),"")</f>
        <v/>
      </c>
    </row>
    <row r="418" spans="1:52" x14ac:dyDescent="0.3">
      <c r="B418" s="385" t="str">
        <f>IF(U417=0,"🌱 vegan","")</f>
        <v/>
      </c>
      <c r="C418" s="105" t="str">
        <f>IF(U417=1,"Ⓥ vegetarisch","")</f>
        <v/>
      </c>
      <c r="D418" s="384" t="str">
        <f>IF(U417=10,"🥩 mit Fleisch/Fisch","")</f>
        <v/>
      </c>
      <c r="E418" s="78"/>
      <c r="G418" s="15" t="s">
        <v>623</v>
      </c>
      <c r="H418" s="294">
        <f>IF(D409="",H417,H417/D409)</f>
        <v>0</v>
      </c>
    </row>
    <row r="419" spans="1:52" x14ac:dyDescent="0.3">
      <c r="C419" s="78"/>
      <c r="D419" s="78"/>
      <c r="E419" s="78"/>
      <c r="G419" s="15"/>
      <c r="H419" s="15"/>
    </row>
    <row r="420" spans="1:52" ht="18" thickBot="1" x14ac:dyDescent="0.4">
      <c r="B420" s="496" t="str">
        <f>"CO₂-Bilanz Gericht 19: "&amp;D421</f>
        <v>CO₂-Bilanz Gericht 19: Menü 19</v>
      </c>
      <c r="C420" s="496"/>
      <c r="D420" s="496"/>
      <c r="E420" s="496"/>
      <c r="T420" s="84"/>
    </row>
    <row r="421" spans="1:52" ht="15" thickTop="1" x14ac:dyDescent="0.3">
      <c r="B421" t="s">
        <v>994</v>
      </c>
      <c r="D421" s="288" t="s">
        <v>1021</v>
      </c>
      <c r="F421" s="78"/>
      <c r="G421" s="78"/>
      <c r="H421" s="78"/>
      <c r="I421" s="78"/>
    </row>
    <row r="422" spans="1:52" x14ac:dyDescent="0.3">
      <c r="B422" t="s">
        <v>995</v>
      </c>
      <c r="C422" s="78"/>
      <c r="D422" s="291">
        <v>1</v>
      </c>
      <c r="E422" s="301" t="str">
        <f>IF(ISNUMBER(FIND("g",_xlfn.CONCAT(E424:E429))),"Bitte Menge als reine Zahl ohne Zusatz g eingeben","")</f>
        <v/>
      </c>
      <c r="G422" s="78"/>
      <c r="H422" s="78"/>
      <c r="T422" s="329" t="s">
        <v>918</v>
      </c>
      <c r="U422" s="330"/>
      <c r="V422" s="330"/>
      <c r="W422" s="330"/>
      <c r="X422" s="330"/>
      <c r="Y422" s="330"/>
    </row>
    <row r="423" spans="1:52" ht="44.4" x14ac:dyDescent="0.35">
      <c r="A423" s="376" t="s">
        <v>1217</v>
      </c>
      <c r="C423" s="297" t="s">
        <v>993</v>
      </c>
      <c r="D423" s="313" t="s">
        <v>992</v>
      </c>
      <c r="E423" s="298" t="s">
        <v>323</v>
      </c>
      <c r="F423" s="298" t="s">
        <v>324</v>
      </c>
      <c r="G423" s="296" t="s">
        <v>534</v>
      </c>
      <c r="H423" s="296" t="s">
        <v>535</v>
      </c>
      <c r="P423" s="356" t="s">
        <v>956</v>
      </c>
      <c r="Q423" s="356" t="s">
        <v>957</v>
      </c>
      <c r="R423" s="357" t="s">
        <v>958</v>
      </c>
      <c r="S423" s="357" t="s">
        <v>1028</v>
      </c>
      <c r="T423" s="361">
        <v>1</v>
      </c>
      <c r="U423" s="362">
        <v>2</v>
      </c>
      <c r="V423" s="362">
        <v>3</v>
      </c>
      <c r="W423" s="362">
        <v>4</v>
      </c>
      <c r="X423" s="362">
        <v>5</v>
      </c>
      <c r="Y423" s="362">
        <v>6</v>
      </c>
      <c r="Z423" s="362">
        <v>7</v>
      </c>
      <c r="AA423" s="362">
        <v>8</v>
      </c>
      <c r="AB423" s="362">
        <v>9</v>
      </c>
      <c r="AC423" s="362">
        <v>10</v>
      </c>
      <c r="AD423" s="362">
        <v>11</v>
      </c>
      <c r="AE423" s="362">
        <v>12</v>
      </c>
      <c r="AF423" s="362">
        <v>13</v>
      </c>
      <c r="AG423" s="362">
        <v>14</v>
      </c>
      <c r="AH423" s="362">
        <v>15</v>
      </c>
      <c r="AI423" s="362">
        <v>16</v>
      </c>
      <c r="AJ423" s="362">
        <v>17</v>
      </c>
      <c r="AK423" s="362">
        <v>18</v>
      </c>
      <c r="AL423" s="362">
        <v>19</v>
      </c>
      <c r="AM423" s="362">
        <v>20</v>
      </c>
      <c r="AN423" s="362">
        <v>21</v>
      </c>
      <c r="AO423" s="362">
        <v>22</v>
      </c>
      <c r="AP423" s="362">
        <v>23</v>
      </c>
      <c r="AQ423" s="362">
        <v>24</v>
      </c>
      <c r="AR423" s="362">
        <v>25</v>
      </c>
      <c r="AS423" s="362">
        <v>26</v>
      </c>
      <c r="AT423" s="362">
        <v>27</v>
      </c>
      <c r="AU423" s="362">
        <v>28</v>
      </c>
      <c r="AV423" s="362">
        <v>29</v>
      </c>
      <c r="AW423" s="362">
        <v>30</v>
      </c>
      <c r="AX423" s="362">
        <v>31</v>
      </c>
      <c r="AY423" s="362">
        <v>32</v>
      </c>
      <c r="AZ423" s="363">
        <v>33</v>
      </c>
    </row>
    <row r="424" spans="1:52" x14ac:dyDescent="0.3">
      <c r="B424" t="s">
        <v>13</v>
      </c>
      <c r="C424" s="471" t="s">
        <v>27</v>
      </c>
      <c r="D424" s="472"/>
      <c r="E424" s="470"/>
      <c r="F424" s="473" t="s">
        <v>12</v>
      </c>
      <c r="G424" s="350" t="str">
        <f t="shared" ref="G424:G429" si="116">IF(D424="","",R424*IF(F424="Ja",FaktorBeiLokalemProdukt,1))</f>
        <v/>
      </c>
      <c r="H424" s="293" t="str">
        <f t="shared" ref="H424:H429" si="117">IF(D424="","",E424*G424)</f>
        <v/>
      </c>
      <c r="P424" s="331">
        <f t="shared" ref="P424:P429" si="118">VLOOKUP(C424,$C$457:$D$464,2,FALSE)</f>
        <v>22</v>
      </c>
      <c r="Q424" s="332" t="e">
        <f>MATCH(D424,T424:AZ424,0)</f>
        <v>#N/A</v>
      </c>
      <c r="R424" s="358">
        <f t="shared" ref="R424:R429" si="119">_xlfn.IFNA(IF(D424&lt;&gt;"",VLOOKUP(D424,$C$544:$E$774,2,FALSE),0),0)</f>
        <v>0</v>
      </c>
      <c r="S424" s="358">
        <f t="shared" ref="S424:S429" si="120">_xlfn.IFNA(IF(D424&lt;&gt;"",VLOOKUP(D424,$C$544:$E$774,3,FALSE),0),0)</f>
        <v>0</v>
      </c>
      <c r="T424" s="333" t="str" cm="1">
        <f t="array" ref="T424">IF($C424&lt;&gt;"bitte wählen",INDEX(ListeLebensmittelIFEU,T$189+1,$P424),"")</f>
        <v/>
      </c>
      <c r="U424" s="334" t="str" cm="1">
        <f t="array" ref="U424">IF($C424&lt;&gt;"bitte wählen",INDEX(ListeLebensmittelIFEU,U$189+1,$P424),"")</f>
        <v/>
      </c>
      <c r="V424" s="334" t="str" cm="1">
        <f t="array" ref="V424">IF($C424&lt;&gt;"bitte wählen",INDEX(ListeLebensmittelIFEU,V$189+1,$P424),"")</f>
        <v/>
      </c>
      <c r="W424" s="334" t="str" cm="1">
        <f t="array" ref="W424">IF($C424&lt;&gt;"bitte wählen",INDEX(ListeLebensmittelIFEU,W$189+1,$P424),"")</f>
        <v/>
      </c>
      <c r="X424" s="334" t="str" cm="1">
        <f t="array" ref="X424">IF($C424&lt;&gt;"bitte wählen",INDEX(ListeLebensmittelIFEU,X$189+1,$P424),"")</f>
        <v/>
      </c>
      <c r="Y424" s="334" t="str" cm="1">
        <f t="array" ref="Y424">IF($C424&lt;&gt;"bitte wählen",INDEX(ListeLebensmittelIFEU,Y$189+1,$P424),"")</f>
        <v/>
      </c>
      <c r="Z424" s="334" t="str" cm="1">
        <f t="array" ref="Z424">IF($C424&lt;&gt;"bitte wählen",INDEX(ListeLebensmittelIFEU,Z$189+1,$P424),"")</f>
        <v/>
      </c>
      <c r="AA424" s="334" t="str" cm="1">
        <f t="array" ref="AA424">IF($C424&lt;&gt;"bitte wählen",INDEX(ListeLebensmittelIFEU,AA$189+1,$P424),"")</f>
        <v/>
      </c>
      <c r="AB424" s="334" t="str" cm="1">
        <f t="array" ref="AB424">IF($C424&lt;&gt;"bitte wählen",INDEX(ListeLebensmittelIFEU,AB$189+1,$P424),"")</f>
        <v/>
      </c>
      <c r="AC424" s="334" t="str" cm="1">
        <f t="array" ref="AC424">IF($C424&lt;&gt;"bitte wählen",INDEX(ListeLebensmittelIFEU,AC$189+1,$P424),"")</f>
        <v/>
      </c>
      <c r="AD424" s="334" t="str" cm="1">
        <f t="array" ref="AD424">IF($C424&lt;&gt;"bitte wählen",INDEX(ListeLebensmittelIFEU,AD$189+1,$P424),"")</f>
        <v/>
      </c>
      <c r="AE424" s="334" t="str" cm="1">
        <f t="array" ref="AE424">IF($C424&lt;&gt;"bitte wählen",INDEX(ListeLebensmittelIFEU,AE$189+1,$P424),"")</f>
        <v/>
      </c>
      <c r="AF424" s="334" t="str" cm="1">
        <f t="array" ref="AF424">IF($C424&lt;&gt;"bitte wählen",INDEX(ListeLebensmittelIFEU,AF$189+1,$P424),"")</f>
        <v/>
      </c>
      <c r="AG424" s="334" t="str" cm="1">
        <f t="array" ref="AG424">IF($C424&lt;&gt;"bitte wählen",INDEX(ListeLebensmittelIFEU,AG$189+1,$P424),"")</f>
        <v/>
      </c>
      <c r="AH424" s="334" t="str" cm="1">
        <f t="array" ref="AH424">IF($C424&lt;&gt;"bitte wählen",INDEX(ListeLebensmittelIFEU,AH$189+1,$P424),"")</f>
        <v/>
      </c>
      <c r="AI424" s="334" t="str" cm="1">
        <f t="array" ref="AI424">IF($C424&lt;&gt;"bitte wählen",INDEX(ListeLebensmittelIFEU,AI$189+1,$P424),"")</f>
        <v/>
      </c>
      <c r="AJ424" s="334" t="str" cm="1">
        <f t="array" ref="AJ424">IF($C424&lt;&gt;"bitte wählen",INDEX(ListeLebensmittelIFEU,AJ$189+1,$P424),"")</f>
        <v/>
      </c>
      <c r="AK424" s="334" t="str" cm="1">
        <f t="array" ref="AK424">IF($C424&lt;&gt;"bitte wählen",INDEX(ListeLebensmittelIFEU,AK$189+1,$P424),"")</f>
        <v/>
      </c>
      <c r="AL424" s="334" t="str" cm="1">
        <f t="array" ref="AL424">IF($C424&lt;&gt;"bitte wählen",INDEX(ListeLebensmittelIFEU,AL$189+1,$P424),"")</f>
        <v/>
      </c>
      <c r="AM424" s="334" t="str" cm="1">
        <f t="array" ref="AM424">IF($C424&lt;&gt;"bitte wählen",INDEX(ListeLebensmittelIFEU,AM$189+1,$P424),"")</f>
        <v/>
      </c>
      <c r="AN424" s="334" t="str" cm="1">
        <f t="array" ref="AN424">IF($C424&lt;&gt;"bitte wählen",INDEX(ListeLebensmittelIFEU,AN$189+1,$P424),"")</f>
        <v/>
      </c>
      <c r="AO424" s="334" t="str" cm="1">
        <f t="array" ref="AO424">IF($C424&lt;&gt;"bitte wählen",INDEX(ListeLebensmittelIFEU,AO$189+1,$P424),"")</f>
        <v/>
      </c>
      <c r="AP424" s="334" t="str" cm="1">
        <f t="array" ref="AP424">IF($C424&lt;&gt;"bitte wählen",INDEX(ListeLebensmittelIFEU,AP$189+1,$P424),"")</f>
        <v/>
      </c>
      <c r="AQ424" s="334" t="str" cm="1">
        <f t="array" ref="AQ424">IF($C424&lt;&gt;"bitte wählen",INDEX(ListeLebensmittelIFEU,AQ$189+1,$P424),"")</f>
        <v/>
      </c>
      <c r="AR424" s="334" t="str" cm="1">
        <f t="array" ref="AR424">IF($C424&lt;&gt;"bitte wählen",INDEX(ListeLebensmittelIFEU,AR$189+1,$P424),"")</f>
        <v/>
      </c>
      <c r="AS424" s="334" t="str" cm="1">
        <f t="array" ref="AS424">IF($C424&lt;&gt;"bitte wählen",INDEX(ListeLebensmittelIFEU,AS$189+1,$P424),"")</f>
        <v/>
      </c>
      <c r="AT424" s="334" t="str" cm="1">
        <f t="array" ref="AT424">IF($C424&lt;&gt;"bitte wählen",INDEX(ListeLebensmittelIFEU,AT$189+1,$P424),"")</f>
        <v/>
      </c>
      <c r="AU424" s="334" t="str" cm="1">
        <f t="array" ref="AU424">IF($C424&lt;&gt;"bitte wählen",INDEX(ListeLebensmittelIFEU,AU$189+1,$P424),"")</f>
        <v/>
      </c>
      <c r="AV424" s="334" t="str" cm="1">
        <f t="array" ref="AV424">IF($C424&lt;&gt;"bitte wählen",INDEX(ListeLebensmittelIFEU,AV$189+1,$P424),"")</f>
        <v/>
      </c>
      <c r="AW424" s="334" t="str" cm="1">
        <f t="array" ref="AW424">IF($C424&lt;&gt;"bitte wählen",INDEX(ListeLebensmittelIFEU,AW$189+1,$P424),"")</f>
        <v/>
      </c>
      <c r="AX424" s="334" t="str" cm="1">
        <f t="array" ref="AX424">IF($C424&lt;&gt;"bitte wählen",INDEX(ListeLebensmittelIFEU,AX$189+1,$P424),"")</f>
        <v/>
      </c>
      <c r="AY424" s="334" t="str" cm="1">
        <f t="array" ref="AY424">IF($C424&lt;&gt;"bitte wählen",INDEX(ListeLebensmittelIFEU,AY$189+1,$P424),"")</f>
        <v/>
      </c>
      <c r="AZ424" s="335" t="str" cm="1">
        <f t="array" ref="AZ424">IF($C424&lt;&gt;"bitte wählen",INDEX(ListeLebensmittelIFEU,AZ$189+1,$P424),"")</f>
        <v/>
      </c>
    </row>
    <row r="425" spans="1:52" x14ac:dyDescent="0.3">
      <c r="B425" t="s">
        <v>327</v>
      </c>
      <c r="C425" s="471" t="s">
        <v>27</v>
      </c>
      <c r="D425" s="472"/>
      <c r="E425" s="349"/>
      <c r="F425" s="473" t="s">
        <v>12</v>
      </c>
      <c r="G425" s="350" t="str">
        <f t="shared" si="116"/>
        <v/>
      </c>
      <c r="H425" s="293" t="str">
        <f t="shared" si="117"/>
        <v/>
      </c>
      <c r="P425" s="333">
        <f t="shared" si="118"/>
        <v>22</v>
      </c>
      <c r="Q425" s="334" t="e">
        <f t="shared" ref="Q425:Q429" si="121">MATCH(D425,T425:AZ425,0)</f>
        <v>#N/A</v>
      </c>
      <c r="R425" s="359">
        <f t="shared" si="119"/>
        <v>0</v>
      </c>
      <c r="S425" s="380">
        <f t="shared" si="120"/>
        <v>0</v>
      </c>
      <c r="T425" s="333" t="str" cm="1">
        <f t="array" ref="T425">IF($C425&lt;&gt;"bitte wählen",INDEX(ListeLebensmittelIFEU,T$189+1,$P425),"")</f>
        <v/>
      </c>
      <c r="U425" s="334" t="str" cm="1">
        <f t="array" ref="U425">IF($C425&lt;&gt;"bitte wählen",INDEX(ListeLebensmittelIFEU,U$189+1,$P425),"")</f>
        <v/>
      </c>
      <c r="V425" s="334" t="str" cm="1">
        <f t="array" ref="V425">IF($C425&lt;&gt;"bitte wählen",INDEX(ListeLebensmittelIFEU,V$189+1,$P425),"")</f>
        <v/>
      </c>
      <c r="W425" s="334" t="str" cm="1">
        <f t="array" ref="W425">IF($C425&lt;&gt;"bitte wählen",INDEX(ListeLebensmittelIFEU,W$189+1,$P425),"")</f>
        <v/>
      </c>
      <c r="X425" s="334" t="str" cm="1">
        <f t="array" ref="X425">IF($C425&lt;&gt;"bitte wählen",INDEX(ListeLebensmittelIFEU,X$189+1,$P425),"")</f>
        <v/>
      </c>
      <c r="Y425" s="334" t="str" cm="1">
        <f t="array" ref="Y425">IF($C425&lt;&gt;"bitte wählen",INDEX(ListeLebensmittelIFEU,Y$189+1,$P425),"")</f>
        <v/>
      </c>
      <c r="Z425" s="334" t="str" cm="1">
        <f t="array" ref="Z425">IF($C425&lt;&gt;"bitte wählen",INDEX(ListeLebensmittelIFEU,Z$189+1,$P425),"")</f>
        <v/>
      </c>
      <c r="AA425" s="334" t="str" cm="1">
        <f t="array" ref="AA425">IF($C425&lt;&gt;"bitte wählen",INDEX(ListeLebensmittelIFEU,AA$189+1,$P425),"")</f>
        <v/>
      </c>
      <c r="AB425" s="334" t="str" cm="1">
        <f t="array" ref="AB425">IF($C425&lt;&gt;"bitte wählen",INDEX(ListeLebensmittelIFEU,AB$189+1,$P425),"")</f>
        <v/>
      </c>
      <c r="AC425" s="334" t="str" cm="1">
        <f t="array" ref="AC425">IF($C425&lt;&gt;"bitte wählen",INDEX(ListeLebensmittelIFEU,AC$189+1,$P425),"")</f>
        <v/>
      </c>
      <c r="AD425" s="334" t="str" cm="1">
        <f t="array" ref="AD425">IF($C425&lt;&gt;"bitte wählen",INDEX(ListeLebensmittelIFEU,AD$189+1,$P425),"")</f>
        <v/>
      </c>
      <c r="AE425" s="334" t="str" cm="1">
        <f t="array" ref="AE425">IF($C425&lt;&gt;"bitte wählen",INDEX(ListeLebensmittelIFEU,AE$189+1,$P425),"")</f>
        <v/>
      </c>
      <c r="AF425" s="334" t="str" cm="1">
        <f t="array" ref="AF425">IF($C425&lt;&gt;"bitte wählen",INDEX(ListeLebensmittelIFEU,AF$189+1,$P425),"")</f>
        <v/>
      </c>
      <c r="AG425" s="334" t="str" cm="1">
        <f t="array" ref="AG425">IF($C425&lt;&gt;"bitte wählen",INDEX(ListeLebensmittelIFEU,AG$189+1,$P425),"")</f>
        <v/>
      </c>
      <c r="AH425" s="334" t="str" cm="1">
        <f t="array" ref="AH425">IF($C425&lt;&gt;"bitte wählen",INDEX(ListeLebensmittelIFEU,AH$189+1,$P425),"")</f>
        <v/>
      </c>
      <c r="AI425" s="334" t="str" cm="1">
        <f t="array" ref="AI425">IF($C425&lt;&gt;"bitte wählen",INDEX(ListeLebensmittelIFEU,AI$189+1,$P425),"")</f>
        <v/>
      </c>
      <c r="AJ425" s="334" t="str" cm="1">
        <f t="array" ref="AJ425">IF($C425&lt;&gt;"bitte wählen",INDEX(ListeLebensmittelIFEU,AJ$189+1,$P425),"")</f>
        <v/>
      </c>
      <c r="AK425" s="334" t="str" cm="1">
        <f t="array" ref="AK425">IF($C425&lt;&gt;"bitte wählen",INDEX(ListeLebensmittelIFEU,AK$189+1,$P425),"")</f>
        <v/>
      </c>
      <c r="AL425" s="334" t="str" cm="1">
        <f t="array" ref="AL425">IF($C425&lt;&gt;"bitte wählen",INDEX(ListeLebensmittelIFEU,AL$189+1,$P425),"")</f>
        <v/>
      </c>
      <c r="AM425" s="334" t="str" cm="1">
        <f t="array" ref="AM425">IF($C425&lt;&gt;"bitte wählen",INDEX(ListeLebensmittelIFEU,AM$189+1,$P425),"")</f>
        <v/>
      </c>
      <c r="AN425" s="334" t="str" cm="1">
        <f t="array" ref="AN425">IF($C425&lt;&gt;"bitte wählen",INDEX(ListeLebensmittelIFEU,AN$189+1,$P425),"")</f>
        <v/>
      </c>
      <c r="AO425" s="334" t="str" cm="1">
        <f t="array" ref="AO425">IF($C425&lt;&gt;"bitte wählen",INDEX(ListeLebensmittelIFEU,AO$189+1,$P425),"")</f>
        <v/>
      </c>
      <c r="AP425" s="334" t="str" cm="1">
        <f t="array" ref="AP425">IF($C425&lt;&gt;"bitte wählen",INDEX(ListeLebensmittelIFEU,AP$189+1,$P425),"")</f>
        <v/>
      </c>
      <c r="AQ425" s="334" t="str" cm="1">
        <f t="array" ref="AQ425">IF($C425&lt;&gt;"bitte wählen",INDEX(ListeLebensmittelIFEU,AQ$189+1,$P425),"")</f>
        <v/>
      </c>
      <c r="AR425" s="334" t="str" cm="1">
        <f t="array" ref="AR425">IF($C425&lt;&gt;"bitte wählen",INDEX(ListeLebensmittelIFEU,AR$189+1,$P425),"")</f>
        <v/>
      </c>
      <c r="AS425" s="334" t="str" cm="1">
        <f t="array" ref="AS425">IF($C425&lt;&gt;"bitte wählen",INDEX(ListeLebensmittelIFEU,AS$189+1,$P425),"")</f>
        <v/>
      </c>
      <c r="AT425" s="334" t="str" cm="1">
        <f t="array" ref="AT425">IF($C425&lt;&gt;"bitte wählen",INDEX(ListeLebensmittelIFEU,AT$189+1,$P425),"")</f>
        <v/>
      </c>
      <c r="AU425" s="334" t="str" cm="1">
        <f t="array" ref="AU425">IF($C425&lt;&gt;"bitte wählen",INDEX(ListeLebensmittelIFEU,AU$189+1,$P425),"")</f>
        <v/>
      </c>
      <c r="AV425" s="334" t="str" cm="1">
        <f t="array" ref="AV425">IF($C425&lt;&gt;"bitte wählen",INDEX(ListeLebensmittelIFEU,AV$189+1,$P425),"")</f>
        <v/>
      </c>
      <c r="AW425" s="334" t="str" cm="1">
        <f t="array" ref="AW425">IF($C425&lt;&gt;"bitte wählen",INDEX(ListeLebensmittelIFEU,AW$189+1,$P425),"")</f>
        <v/>
      </c>
      <c r="AX425" s="334" t="str" cm="1">
        <f t="array" ref="AX425">IF($C425&lt;&gt;"bitte wählen",INDEX(ListeLebensmittelIFEU,AX$189+1,$P425),"")</f>
        <v/>
      </c>
      <c r="AY425" s="334" t="str" cm="1">
        <f t="array" ref="AY425">IF($C425&lt;&gt;"bitte wählen",INDEX(ListeLebensmittelIFEU,AY$189+1,$P425),"")</f>
        <v/>
      </c>
      <c r="AZ425" s="335" t="str" cm="1">
        <f t="array" ref="AZ425">IF($C425&lt;&gt;"bitte wählen",INDEX(ListeLebensmittelIFEU,AZ$189+1,$P425),"")</f>
        <v/>
      </c>
    </row>
    <row r="426" spans="1:52" x14ac:dyDescent="0.3">
      <c r="B426" t="s">
        <v>328</v>
      </c>
      <c r="C426" s="471" t="s">
        <v>27</v>
      </c>
      <c r="D426" s="472"/>
      <c r="E426" s="349"/>
      <c r="F426" s="473" t="s">
        <v>12</v>
      </c>
      <c r="G426" s="350" t="str">
        <f t="shared" si="116"/>
        <v/>
      </c>
      <c r="H426" s="293" t="str">
        <f t="shared" si="117"/>
        <v/>
      </c>
      <c r="P426" s="333">
        <f t="shared" si="118"/>
        <v>22</v>
      </c>
      <c r="Q426" s="334" t="e">
        <f t="shared" si="121"/>
        <v>#N/A</v>
      </c>
      <c r="R426" s="359">
        <f t="shared" si="119"/>
        <v>0</v>
      </c>
      <c r="S426" s="380">
        <f t="shared" si="120"/>
        <v>0</v>
      </c>
      <c r="T426" s="333" t="str" cm="1">
        <f t="array" ref="T426">IF($C426&lt;&gt;"bitte wählen",INDEX(ListeLebensmittelIFEU,T$189+1,$P426),"")</f>
        <v/>
      </c>
      <c r="U426" s="334" t="str" cm="1">
        <f t="array" ref="U426">IF($C426&lt;&gt;"bitte wählen",INDEX(ListeLebensmittelIFEU,U$189+1,$P426),"")</f>
        <v/>
      </c>
      <c r="V426" s="334" t="str" cm="1">
        <f t="array" ref="V426">IF($C426&lt;&gt;"bitte wählen",INDEX(ListeLebensmittelIFEU,V$189+1,$P426),"")</f>
        <v/>
      </c>
      <c r="W426" s="334" t="str" cm="1">
        <f t="array" ref="W426">IF($C426&lt;&gt;"bitte wählen",INDEX(ListeLebensmittelIFEU,W$189+1,$P426),"")</f>
        <v/>
      </c>
      <c r="X426" s="334" t="str" cm="1">
        <f t="array" ref="X426">IF($C426&lt;&gt;"bitte wählen",INDEX(ListeLebensmittelIFEU,X$189+1,$P426),"")</f>
        <v/>
      </c>
      <c r="Y426" s="334" t="str" cm="1">
        <f t="array" ref="Y426">IF($C426&lt;&gt;"bitte wählen",INDEX(ListeLebensmittelIFEU,Y$189+1,$P426),"")</f>
        <v/>
      </c>
      <c r="Z426" s="334" t="str" cm="1">
        <f t="array" ref="Z426">IF($C426&lt;&gt;"bitte wählen",INDEX(ListeLebensmittelIFEU,Z$189+1,$P426),"")</f>
        <v/>
      </c>
      <c r="AA426" s="334" t="str" cm="1">
        <f t="array" ref="AA426">IF($C426&lt;&gt;"bitte wählen",INDEX(ListeLebensmittelIFEU,AA$189+1,$P426),"")</f>
        <v/>
      </c>
      <c r="AB426" s="334" t="str" cm="1">
        <f t="array" ref="AB426">IF($C426&lt;&gt;"bitte wählen",INDEX(ListeLebensmittelIFEU,AB$189+1,$P426),"")</f>
        <v/>
      </c>
      <c r="AC426" s="334" t="str" cm="1">
        <f t="array" ref="AC426">IF($C426&lt;&gt;"bitte wählen",INDEX(ListeLebensmittelIFEU,AC$189+1,$P426),"")</f>
        <v/>
      </c>
      <c r="AD426" s="334" t="str" cm="1">
        <f t="array" ref="AD426">IF($C426&lt;&gt;"bitte wählen",INDEX(ListeLebensmittelIFEU,AD$189+1,$P426),"")</f>
        <v/>
      </c>
      <c r="AE426" s="334" t="str" cm="1">
        <f t="array" ref="AE426">IF($C426&lt;&gt;"bitte wählen",INDEX(ListeLebensmittelIFEU,AE$189+1,$P426),"")</f>
        <v/>
      </c>
      <c r="AF426" s="334" t="str" cm="1">
        <f t="array" ref="AF426">IF($C426&lt;&gt;"bitte wählen",INDEX(ListeLebensmittelIFEU,AF$189+1,$P426),"")</f>
        <v/>
      </c>
      <c r="AG426" s="334" t="str" cm="1">
        <f t="array" ref="AG426">IF($C426&lt;&gt;"bitte wählen",INDEX(ListeLebensmittelIFEU,AG$189+1,$P426),"")</f>
        <v/>
      </c>
      <c r="AH426" s="334" t="str" cm="1">
        <f t="array" ref="AH426">IF($C426&lt;&gt;"bitte wählen",INDEX(ListeLebensmittelIFEU,AH$189+1,$P426),"")</f>
        <v/>
      </c>
      <c r="AI426" s="334" t="str" cm="1">
        <f t="array" ref="AI426">IF($C426&lt;&gt;"bitte wählen",INDEX(ListeLebensmittelIFEU,AI$189+1,$P426),"")</f>
        <v/>
      </c>
      <c r="AJ426" s="334" t="str" cm="1">
        <f t="array" ref="AJ426">IF($C426&lt;&gt;"bitte wählen",INDEX(ListeLebensmittelIFEU,AJ$189+1,$P426),"")</f>
        <v/>
      </c>
      <c r="AK426" s="334" t="str" cm="1">
        <f t="array" ref="AK426">IF($C426&lt;&gt;"bitte wählen",INDEX(ListeLebensmittelIFEU,AK$189+1,$P426),"")</f>
        <v/>
      </c>
      <c r="AL426" s="334" t="str" cm="1">
        <f t="array" ref="AL426">IF($C426&lt;&gt;"bitte wählen",INDEX(ListeLebensmittelIFEU,AL$189+1,$P426),"")</f>
        <v/>
      </c>
      <c r="AM426" s="334" t="str" cm="1">
        <f t="array" ref="AM426">IF($C426&lt;&gt;"bitte wählen",INDEX(ListeLebensmittelIFEU,AM$189+1,$P426),"")</f>
        <v/>
      </c>
      <c r="AN426" s="334" t="str" cm="1">
        <f t="array" ref="AN426">IF($C426&lt;&gt;"bitte wählen",INDEX(ListeLebensmittelIFEU,AN$189+1,$P426),"")</f>
        <v/>
      </c>
      <c r="AO426" s="334" t="str" cm="1">
        <f t="array" ref="AO426">IF($C426&lt;&gt;"bitte wählen",INDEX(ListeLebensmittelIFEU,AO$189+1,$P426),"")</f>
        <v/>
      </c>
      <c r="AP426" s="334" t="str" cm="1">
        <f t="array" ref="AP426">IF($C426&lt;&gt;"bitte wählen",INDEX(ListeLebensmittelIFEU,AP$189+1,$P426),"")</f>
        <v/>
      </c>
      <c r="AQ426" s="334" t="str" cm="1">
        <f t="array" ref="AQ426">IF($C426&lt;&gt;"bitte wählen",INDEX(ListeLebensmittelIFEU,AQ$189+1,$P426),"")</f>
        <v/>
      </c>
      <c r="AR426" s="334" t="str" cm="1">
        <f t="array" ref="AR426">IF($C426&lt;&gt;"bitte wählen",INDEX(ListeLebensmittelIFEU,AR$189+1,$P426),"")</f>
        <v/>
      </c>
      <c r="AS426" s="334" t="str" cm="1">
        <f t="array" ref="AS426">IF($C426&lt;&gt;"bitte wählen",INDEX(ListeLebensmittelIFEU,AS$189+1,$P426),"")</f>
        <v/>
      </c>
      <c r="AT426" s="334" t="str" cm="1">
        <f t="array" ref="AT426">IF($C426&lt;&gt;"bitte wählen",INDEX(ListeLebensmittelIFEU,AT$189+1,$P426),"")</f>
        <v/>
      </c>
      <c r="AU426" s="334" t="str" cm="1">
        <f t="array" ref="AU426">IF($C426&lt;&gt;"bitte wählen",INDEX(ListeLebensmittelIFEU,AU$189+1,$P426),"")</f>
        <v/>
      </c>
      <c r="AV426" s="334" t="str" cm="1">
        <f t="array" ref="AV426">IF($C426&lt;&gt;"bitte wählen",INDEX(ListeLebensmittelIFEU,AV$189+1,$P426),"")</f>
        <v/>
      </c>
      <c r="AW426" s="334" t="str" cm="1">
        <f t="array" ref="AW426">IF($C426&lt;&gt;"bitte wählen",INDEX(ListeLebensmittelIFEU,AW$189+1,$P426),"")</f>
        <v/>
      </c>
      <c r="AX426" s="334" t="str" cm="1">
        <f t="array" ref="AX426">IF($C426&lt;&gt;"bitte wählen",INDEX(ListeLebensmittelIFEU,AX$189+1,$P426),"")</f>
        <v/>
      </c>
      <c r="AY426" s="334" t="str" cm="1">
        <f t="array" ref="AY426">IF($C426&lt;&gt;"bitte wählen",INDEX(ListeLebensmittelIFEU,AY$189+1,$P426),"")</f>
        <v/>
      </c>
      <c r="AZ426" s="335" t="str" cm="1">
        <f t="array" ref="AZ426">IF($C426&lt;&gt;"bitte wählen",INDEX(ListeLebensmittelIFEU,AZ$189+1,$P426),"")</f>
        <v/>
      </c>
    </row>
    <row r="427" spans="1:52" x14ac:dyDescent="0.3">
      <c r="B427" t="s">
        <v>329</v>
      </c>
      <c r="C427" s="471" t="s">
        <v>27</v>
      </c>
      <c r="D427" s="472"/>
      <c r="E427" s="349"/>
      <c r="F427" s="473" t="s">
        <v>12</v>
      </c>
      <c r="G427" s="350" t="str">
        <f t="shared" si="116"/>
        <v/>
      </c>
      <c r="H427" s="293" t="str">
        <f t="shared" si="117"/>
        <v/>
      </c>
      <c r="P427" s="333">
        <f t="shared" si="118"/>
        <v>22</v>
      </c>
      <c r="Q427" s="334" t="e">
        <f t="shared" si="121"/>
        <v>#N/A</v>
      </c>
      <c r="R427" s="359">
        <f t="shared" si="119"/>
        <v>0</v>
      </c>
      <c r="S427" s="380">
        <f t="shared" si="120"/>
        <v>0</v>
      </c>
      <c r="T427" s="333" t="str" cm="1">
        <f t="array" ref="T427">IF($C427&lt;&gt;"bitte wählen",INDEX(ListeLebensmittelIFEU,T$189+1,$P427),"")</f>
        <v/>
      </c>
      <c r="U427" s="334" t="str" cm="1">
        <f t="array" ref="U427">IF($C427&lt;&gt;"bitte wählen",INDEX(ListeLebensmittelIFEU,U$189+1,$P427),"")</f>
        <v/>
      </c>
      <c r="V427" s="334" t="str" cm="1">
        <f t="array" ref="V427">IF($C427&lt;&gt;"bitte wählen",INDEX(ListeLebensmittelIFEU,V$189+1,$P427),"")</f>
        <v/>
      </c>
      <c r="W427" s="334" t="str" cm="1">
        <f t="array" ref="W427">IF($C427&lt;&gt;"bitte wählen",INDEX(ListeLebensmittelIFEU,W$189+1,$P427),"")</f>
        <v/>
      </c>
      <c r="X427" s="334" t="str" cm="1">
        <f t="array" ref="X427">IF($C427&lt;&gt;"bitte wählen",INDEX(ListeLebensmittelIFEU,X$189+1,$P427),"")</f>
        <v/>
      </c>
      <c r="Y427" s="334" t="str" cm="1">
        <f t="array" ref="Y427">IF($C427&lt;&gt;"bitte wählen",INDEX(ListeLebensmittelIFEU,Y$189+1,$P427),"")</f>
        <v/>
      </c>
      <c r="Z427" s="334" t="str" cm="1">
        <f t="array" ref="Z427">IF($C427&lt;&gt;"bitte wählen",INDEX(ListeLebensmittelIFEU,Z$189+1,$P427),"")</f>
        <v/>
      </c>
      <c r="AA427" s="334" t="str" cm="1">
        <f t="array" ref="AA427">IF($C427&lt;&gt;"bitte wählen",INDEX(ListeLebensmittelIFEU,AA$189+1,$P427),"")</f>
        <v/>
      </c>
      <c r="AB427" s="334" t="str" cm="1">
        <f t="array" ref="AB427">IF($C427&lt;&gt;"bitte wählen",INDEX(ListeLebensmittelIFEU,AB$189+1,$P427),"")</f>
        <v/>
      </c>
      <c r="AC427" s="334" t="str" cm="1">
        <f t="array" ref="AC427">IF($C427&lt;&gt;"bitte wählen",INDEX(ListeLebensmittelIFEU,AC$189+1,$P427),"")</f>
        <v/>
      </c>
      <c r="AD427" s="334" t="str" cm="1">
        <f t="array" ref="AD427">IF($C427&lt;&gt;"bitte wählen",INDEX(ListeLebensmittelIFEU,AD$189+1,$P427),"")</f>
        <v/>
      </c>
      <c r="AE427" s="334" t="str" cm="1">
        <f t="array" ref="AE427">IF($C427&lt;&gt;"bitte wählen",INDEX(ListeLebensmittelIFEU,AE$189+1,$P427),"")</f>
        <v/>
      </c>
      <c r="AF427" s="334" t="str" cm="1">
        <f t="array" ref="AF427">IF($C427&lt;&gt;"bitte wählen",INDEX(ListeLebensmittelIFEU,AF$189+1,$P427),"")</f>
        <v/>
      </c>
      <c r="AG427" s="334" t="str" cm="1">
        <f t="array" ref="AG427">IF($C427&lt;&gt;"bitte wählen",INDEX(ListeLebensmittelIFEU,AG$189+1,$P427),"")</f>
        <v/>
      </c>
      <c r="AH427" s="334" t="str" cm="1">
        <f t="array" ref="AH427">IF($C427&lt;&gt;"bitte wählen",INDEX(ListeLebensmittelIFEU,AH$189+1,$P427),"")</f>
        <v/>
      </c>
      <c r="AI427" s="334" t="str" cm="1">
        <f t="array" ref="AI427">IF($C427&lt;&gt;"bitte wählen",INDEX(ListeLebensmittelIFEU,AI$189+1,$P427),"")</f>
        <v/>
      </c>
      <c r="AJ427" s="334" t="str" cm="1">
        <f t="array" ref="AJ427">IF($C427&lt;&gt;"bitte wählen",INDEX(ListeLebensmittelIFEU,AJ$189+1,$P427),"")</f>
        <v/>
      </c>
      <c r="AK427" s="334" t="str" cm="1">
        <f t="array" ref="AK427">IF($C427&lt;&gt;"bitte wählen",INDEX(ListeLebensmittelIFEU,AK$189+1,$P427),"")</f>
        <v/>
      </c>
      <c r="AL427" s="334" t="str" cm="1">
        <f t="array" ref="AL427">IF($C427&lt;&gt;"bitte wählen",INDEX(ListeLebensmittelIFEU,AL$189+1,$P427),"")</f>
        <v/>
      </c>
      <c r="AM427" s="334" t="str" cm="1">
        <f t="array" ref="AM427">IF($C427&lt;&gt;"bitte wählen",INDEX(ListeLebensmittelIFEU,AM$189+1,$P427),"")</f>
        <v/>
      </c>
      <c r="AN427" s="334" t="str" cm="1">
        <f t="array" ref="AN427">IF($C427&lt;&gt;"bitte wählen",INDEX(ListeLebensmittelIFEU,AN$189+1,$P427),"")</f>
        <v/>
      </c>
      <c r="AO427" s="334" t="str" cm="1">
        <f t="array" ref="AO427">IF($C427&lt;&gt;"bitte wählen",INDEX(ListeLebensmittelIFEU,AO$189+1,$P427),"")</f>
        <v/>
      </c>
      <c r="AP427" s="334" t="str" cm="1">
        <f t="array" ref="AP427">IF($C427&lt;&gt;"bitte wählen",INDEX(ListeLebensmittelIFEU,AP$189+1,$P427),"")</f>
        <v/>
      </c>
      <c r="AQ427" s="334" t="str" cm="1">
        <f t="array" ref="AQ427">IF($C427&lt;&gt;"bitte wählen",INDEX(ListeLebensmittelIFEU,AQ$189+1,$P427),"")</f>
        <v/>
      </c>
      <c r="AR427" s="334" t="str" cm="1">
        <f t="array" ref="AR427">IF($C427&lt;&gt;"bitte wählen",INDEX(ListeLebensmittelIFEU,AR$189+1,$P427),"")</f>
        <v/>
      </c>
      <c r="AS427" s="334" t="str" cm="1">
        <f t="array" ref="AS427">IF($C427&lt;&gt;"bitte wählen",INDEX(ListeLebensmittelIFEU,AS$189+1,$P427),"")</f>
        <v/>
      </c>
      <c r="AT427" s="334" t="str" cm="1">
        <f t="array" ref="AT427">IF($C427&lt;&gt;"bitte wählen",INDEX(ListeLebensmittelIFEU,AT$189+1,$P427),"")</f>
        <v/>
      </c>
      <c r="AU427" s="334" t="str" cm="1">
        <f t="array" ref="AU427">IF($C427&lt;&gt;"bitte wählen",INDEX(ListeLebensmittelIFEU,AU$189+1,$P427),"")</f>
        <v/>
      </c>
      <c r="AV427" s="334" t="str" cm="1">
        <f t="array" ref="AV427">IF($C427&lt;&gt;"bitte wählen",INDEX(ListeLebensmittelIFEU,AV$189+1,$P427),"")</f>
        <v/>
      </c>
      <c r="AW427" s="334" t="str" cm="1">
        <f t="array" ref="AW427">IF($C427&lt;&gt;"bitte wählen",INDEX(ListeLebensmittelIFEU,AW$189+1,$P427),"")</f>
        <v/>
      </c>
      <c r="AX427" s="334" t="str" cm="1">
        <f t="array" ref="AX427">IF($C427&lt;&gt;"bitte wählen",INDEX(ListeLebensmittelIFEU,AX$189+1,$P427),"")</f>
        <v/>
      </c>
      <c r="AY427" s="334" t="str" cm="1">
        <f t="array" ref="AY427">IF($C427&lt;&gt;"bitte wählen",INDEX(ListeLebensmittelIFEU,AY$189+1,$P427),"")</f>
        <v/>
      </c>
      <c r="AZ427" s="335" t="str" cm="1">
        <f t="array" ref="AZ427">IF($C427&lt;&gt;"bitte wählen",INDEX(ListeLebensmittelIFEU,AZ$189+1,$P427),"")</f>
        <v/>
      </c>
    </row>
    <row r="428" spans="1:52" x14ac:dyDescent="0.3">
      <c r="B428" t="s">
        <v>330</v>
      </c>
      <c r="C428" s="471" t="s">
        <v>27</v>
      </c>
      <c r="D428" s="472"/>
      <c r="E428" s="349"/>
      <c r="F428" s="473" t="s">
        <v>12</v>
      </c>
      <c r="G428" s="350" t="str">
        <f t="shared" si="116"/>
        <v/>
      </c>
      <c r="H428" s="293" t="str">
        <f t="shared" si="117"/>
        <v/>
      </c>
      <c r="P428" s="333">
        <f t="shared" si="118"/>
        <v>22</v>
      </c>
      <c r="Q428" s="334" t="e">
        <f t="shared" si="121"/>
        <v>#N/A</v>
      </c>
      <c r="R428" s="359">
        <f t="shared" si="119"/>
        <v>0</v>
      </c>
      <c r="S428" s="380">
        <f t="shared" si="120"/>
        <v>0</v>
      </c>
      <c r="T428" s="333" t="str" cm="1">
        <f t="array" ref="T428">IF($C428&lt;&gt;"bitte wählen",INDEX(ListeLebensmittelIFEU,T$189+1,$P428),"")</f>
        <v/>
      </c>
      <c r="U428" s="334" t="str" cm="1">
        <f t="array" ref="U428">IF($C428&lt;&gt;"bitte wählen",INDEX(ListeLebensmittelIFEU,U$189+1,$P428),"")</f>
        <v/>
      </c>
      <c r="V428" s="334" t="str" cm="1">
        <f t="array" ref="V428">IF($C428&lt;&gt;"bitte wählen",INDEX(ListeLebensmittelIFEU,V$189+1,$P428),"")</f>
        <v/>
      </c>
      <c r="W428" s="334" t="str" cm="1">
        <f t="array" ref="W428">IF($C428&lt;&gt;"bitte wählen",INDEX(ListeLebensmittelIFEU,W$189+1,$P428),"")</f>
        <v/>
      </c>
      <c r="X428" s="334" t="str" cm="1">
        <f t="array" ref="X428">IF($C428&lt;&gt;"bitte wählen",INDEX(ListeLebensmittelIFEU,X$189+1,$P428),"")</f>
        <v/>
      </c>
      <c r="Y428" s="334" t="str" cm="1">
        <f t="array" ref="Y428">IF($C428&lt;&gt;"bitte wählen",INDEX(ListeLebensmittelIFEU,Y$189+1,$P428),"")</f>
        <v/>
      </c>
      <c r="Z428" s="334" t="str" cm="1">
        <f t="array" ref="Z428">IF($C428&lt;&gt;"bitte wählen",INDEX(ListeLebensmittelIFEU,Z$189+1,$P428),"")</f>
        <v/>
      </c>
      <c r="AA428" s="334" t="str" cm="1">
        <f t="array" ref="AA428">IF($C428&lt;&gt;"bitte wählen",INDEX(ListeLebensmittelIFEU,AA$189+1,$P428),"")</f>
        <v/>
      </c>
      <c r="AB428" s="334" t="str" cm="1">
        <f t="array" ref="AB428">IF($C428&lt;&gt;"bitte wählen",INDEX(ListeLebensmittelIFEU,AB$189+1,$P428),"")</f>
        <v/>
      </c>
      <c r="AC428" s="334" t="str" cm="1">
        <f t="array" ref="AC428">IF($C428&lt;&gt;"bitte wählen",INDEX(ListeLebensmittelIFEU,AC$189+1,$P428),"")</f>
        <v/>
      </c>
      <c r="AD428" s="334" t="str" cm="1">
        <f t="array" ref="AD428">IF($C428&lt;&gt;"bitte wählen",INDEX(ListeLebensmittelIFEU,AD$189+1,$P428),"")</f>
        <v/>
      </c>
      <c r="AE428" s="334" t="str" cm="1">
        <f t="array" ref="AE428">IF($C428&lt;&gt;"bitte wählen",INDEX(ListeLebensmittelIFEU,AE$189+1,$P428),"")</f>
        <v/>
      </c>
      <c r="AF428" s="334" t="str" cm="1">
        <f t="array" ref="AF428">IF($C428&lt;&gt;"bitte wählen",INDEX(ListeLebensmittelIFEU,AF$189+1,$P428),"")</f>
        <v/>
      </c>
      <c r="AG428" s="334" t="str" cm="1">
        <f t="array" ref="AG428">IF($C428&lt;&gt;"bitte wählen",INDEX(ListeLebensmittelIFEU,AG$189+1,$P428),"")</f>
        <v/>
      </c>
      <c r="AH428" s="334" t="str" cm="1">
        <f t="array" ref="AH428">IF($C428&lt;&gt;"bitte wählen",INDEX(ListeLebensmittelIFEU,AH$189+1,$P428),"")</f>
        <v/>
      </c>
      <c r="AI428" s="334" t="str" cm="1">
        <f t="array" ref="AI428">IF($C428&lt;&gt;"bitte wählen",INDEX(ListeLebensmittelIFEU,AI$189+1,$P428),"")</f>
        <v/>
      </c>
      <c r="AJ428" s="334" t="str" cm="1">
        <f t="array" ref="AJ428">IF($C428&lt;&gt;"bitte wählen",INDEX(ListeLebensmittelIFEU,AJ$189+1,$P428),"")</f>
        <v/>
      </c>
      <c r="AK428" s="334" t="str" cm="1">
        <f t="array" ref="AK428">IF($C428&lt;&gt;"bitte wählen",INDEX(ListeLebensmittelIFEU,AK$189+1,$P428),"")</f>
        <v/>
      </c>
      <c r="AL428" s="334" t="str" cm="1">
        <f t="array" ref="AL428">IF($C428&lt;&gt;"bitte wählen",INDEX(ListeLebensmittelIFEU,AL$189+1,$P428),"")</f>
        <v/>
      </c>
      <c r="AM428" s="334" t="str" cm="1">
        <f t="array" ref="AM428">IF($C428&lt;&gt;"bitte wählen",INDEX(ListeLebensmittelIFEU,AM$189+1,$P428),"")</f>
        <v/>
      </c>
      <c r="AN428" s="334" t="str" cm="1">
        <f t="array" ref="AN428">IF($C428&lt;&gt;"bitte wählen",INDEX(ListeLebensmittelIFEU,AN$189+1,$P428),"")</f>
        <v/>
      </c>
      <c r="AO428" s="334" t="str" cm="1">
        <f t="array" ref="AO428">IF($C428&lt;&gt;"bitte wählen",INDEX(ListeLebensmittelIFEU,AO$189+1,$P428),"")</f>
        <v/>
      </c>
      <c r="AP428" s="334" t="str" cm="1">
        <f t="array" ref="AP428">IF($C428&lt;&gt;"bitte wählen",INDEX(ListeLebensmittelIFEU,AP$189+1,$P428),"")</f>
        <v/>
      </c>
      <c r="AQ428" s="334" t="str" cm="1">
        <f t="array" ref="AQ428">IF($C428&lt;&gt;"bitte wählen",INDEX(ListeLebensmittelIFEU,AQ$189+1,$P428),"")</f>
        <v/>
      </c>
      <c r="AR428" s="334" t="str" cm="1">
        <f t="array" ref="AR428">IF($C428&lt;&gt;"bitte wählen",INDEX(ListeLebensmittelIFEU,AR$189+1,$P428),"")</f>
        <v/>
      </c>
      <c r="AS428" s="334" t="str" cm="1">
        <f t="array" ref="AS428">IF($C428&lt;&gt;"bitte wählen",INDEX(ListeLebensmittelIFEU,AS$189+1,$P428),"")</f>
        <v/>
      </c>
      <c r="AT428" s="334" t="str" cm="1">
        <f t="array" ref="AT428">IF($C428&lt;&gt;"bitte wählen",INDEX(ListeLebensmittelIFEU,AT$189+1,$P428),"")</f>
        <v/>
      </c>
      <c r="AU428" s="334" t="str" cm="1">
        <f t="array" ref="AU428">IF($C428&lt;&gt;"bitte wählen",INDEX(ListeLebensmittelIFEU,AU$189+1,$P428),"")</f>
        <v/>
      </c>
      <c r="AV428" s="334" t="str" cm="1">
        <f t="array" ref="AV428">IF($C428&lt;&gt;"bitte wählen",INDEX(ListeLebensmittelIFEU,AV$189+1,$P428),"")</f>
        <v/>
      </c>
      <c r="AW428" s="334" t="str" cm="1">
        <f t="array" ref="AW428">IF($C428&lt;&gt;"bitte wählen",INDEX(ListeLebensmittelIFEU,AW$189+1,$P428),"")</f>
        <v/>
      </c>
      <c r="AX428" s="334" t="str" cm="1">
        <f t="array" ref="AX428">IF($C428&lt;&gt;"bitte wählen",INDEX(ListeLebensmittelIFEU,AX$189+1,$P428),"")</f>
        <v/>
      </c>
      <c r="AY428" s="334" t="str" cm="1">
        <f t="array" ref="AY428">IF($C428&lt;&gt;"bitte wählen",INDEX(ListeLebensmittelIFEU,AY$189+1,$P428),"")</f>
        <v/>
      </c>
      <c r="AZ428" s="335" t="str" cm="1">
        <f t="array" ref="AZ428">IF($C428&lt;&gt;"bitte wählen",INDEX(ListeLebensmittelIFEU,AZ$189+1,$P428),"")</f>
        <v/>
      </c>
    </row>
    <row r="429" spans="1:52" x14ac:dyDescent="0.3">
      <c r="B429" t="s">
        <v>398</v>
      </c>
      <c r="C429" s="471" t="s">
        <v>27</v>
      </c>
      <c r="D429" s="472"/>
      <c r="E429" s="349"/>
      <c r="F429" s="473" t="s">
        <v>12</v>
      </c>
      <c r="G429" s="350" t="str">
        <f t="shared" si="116"/>
        <v/>
      </c>
      <c r="H429" s="293" t="str">
        <f t="shared" si="117"/>
        <v/>
      </c>
      <c r="P429" s="336">
        <f t="shared" si="118"/>
        <v>22</v>
      </c>
      <c r="Q429" s="337" t="e">
        <f t="shared" si="121"/>
        <v>#N/A</v>
      </c>
      <c r="R429" s="360">
        <f t="shared" si="119"/>
        <v>0</v>
      </c>
      <c r="S429" s="381">
        <f t="shared" si="120"/>
        <v>0</v>
      </c>
      <c r="T429" s="336" t="str" cm="1">
        <f t="array" ref="T429">IF($C429&lt;&gt;"bitte wählen",INDEX(ListeLebensmittelIFEU,T$189+1,$P429),"")</f>
        <v/>
      </c>
      <c r="U429" s="337" t="str" cm="1">
        <f t="array" ref="U429">IF($C429&lt;&gt;"bitte wählen",INDEX(ListeLebensmittelIFEU,U$189+1,$P429),"")</f>
        <v/>
      </c>
      <c r="V429" s="337" t="str" cm="1">
        <f t="array" ref="V429">IF($C429&lt;&gt;"bitte wählen",INDEX(ListeLebensmittelIFEU,V$189+1,$P429),"")</f>
        <v/>
      </c>
      <c r="W429" s="337" t="str" cm="1">
        <f t="array" ref="W429">IF($C429&lt;&gt;"bitte wählen",INDEX(ListeLebensmittelIFEU,W$189+1,$P429),"")</f>
        <v/>
      </c>
      <c r="X429" s="337" t="str" cm="1">
        <f t="array" ref="X429">IF($C429&lt;&gt;"bitte wählen",INDEX(ListeLebensmittelIFEU,X$189+1,$P429),"")</f>
        <v/>
      </c>
      <c r="Y429" s="337" t="str" cm="1">
        <f t="array" ref="Y429">IF($C429&lt;&gt;"bitte wählen",INDEX(ListeLebensmittelIFEU,Y$189+1,$P429),"")</f>
        <v/>
      </c>
      <c r="Z429" s="337" t="str" cm="1">
        <f t="array" ref="Z429">IF($C429&lt;&gt;"bitte wählen",INDEX(ListeLebensmittelIFEU,Z$189+1,$P429),"")</f>
        <v/>
      </c>
      <c r="AA429" s="337" t="str" cm="1">
        <f t="array" ref="AA429">IF($C429&lt;&gt;"bitte wählen",INDEX(ListeLebensmittelIFEU,AA$189+1,$P429),"")</f>
        <v/>
      </c>
      <c r="AB429" s="337" t="str" cm="1">
        <f t="array" ref="AB429">IF($C429&lt;&gt;"bitte wählen",INDEX(ListeLebensmittelIFEU,AB$189+1,$P429),"")</f>
        <v/>
      </c>
      <c r="AC429" s="337" t="str" cm="1">
        <f t="array" ref="AC429">IF($C429&lt;&gt;"bitte wählen",INDEX(ListeLebensmittelIFEU,AC$189+1,$P429),"")</f>
        <v/>
      </c>
      <c r="AD429" s="337" t="str" cm="1">
        <f t="array" ref="AD429">IF($C429&lt;&gt;"bitte wählen",INDEX(ListeLebensmittelIFEU,AD$189+1,$P429),"")</f>
        <v/>
      </c>
      <c r="AE429" s="337" t="str" cm="1">
        <f t="array" ref="AE429">IF($C429&lt;&gt;"bitte wählen",INDEX(ListeLebensmittelIFEU,AE$189+1,$P429),"")</f>
        <v/>
      </c>
      <c r="AF429" s="337" t="str" cm="1">
        <f t="array" ref="AF429">IF($C429&lt;&gt;"bitte wählen",INDEX(ListeLebensmittelIFEU,AF$189+1,$P429),"")</f>
        <v/>
      </c>
      <c r="AG429" s="337" t="str" cm="1">
        <f t="array" ref="AG429">IF($C429&lt;&gt;"bitte wählen",INDEX(ListeLebensmittelIFEU,AG$189+1,$P429),"")</f>
        <v/>
      </c>
      <c r="AH429" s="337" t="str" cm="1">
        <f t="array" ref="AH429">IF($C429&lt;&gt;"bitte wählen",INDEX(ListeLebensmittelIFEU,AH$189+1,$P429),"")</f>
        <v/>
      </c>
      <c r="AI429" s="337" t="str" cm="1">
        <f t="array" ref="AI429">IF($C429&lt;&gt;"bitte wählen",INDEX(ListeLebensmittelIFEU,AI$189+1,$P429),"")</f>
        <v/>
      </c>
      <c r="AJ429" s="337" t="str" cm="1">
        <f t="array" ref="AJ429">IF($C429&lt;&gt;"bitte wählen",INDEX(ListeLebensmittelIFEU,AJ$189+1,$P429),"")</f>
        <v/>
      </c>
      <c r="AK429" s="337" t="str" cm="1">
        <f t="array" ref="AK429">IF($C429&lt;&gt;"bitte wählen",INDEX(ListeLebensmittelIFEU,AK$189+1,$P429),"")</f>
        <v/>
      </c>
      <c r="AL429" s="337" t="str" cm="1">
        <f t="array" ref="AL429">IF($C429&lt;&gt;"bitte wählen",INDEX(ListeLebensmittelIFEU,AL$189+1,$P429),"")</f>
        <v/>
      </c>
      <c r="AM429" s="337" t="str" cm="1">
        <f t="array" ref="AM429">IF($C429&lt;&gt;"bitte wählen",INDEX(ListeLebensmittelIFEU,AM$189+1,$P429),"")</f>
        <v/>
      </c>
      <c r="AN429" s="337" t="str" cm="1">
        <f t="array" ref="AN429">IF($C429&lt;&gt;"bitte wählen",INDEX(ListeLebensmittelIFEU,AN$189+1,$P429),"")</f>
        <v/>
      </c>
      <c r="AO429" s="337" t="str" cm="1">
        <f t="array" ref="AO429">IF($C429&lt;&gt;"bitte wählen",INDEX(ListeLebensmittelIFEU,AO$189+1,$P429),"")</f>
        <v/>
      </c>
      <c r="AP429" s="337" t="str" cm="1">
        <f t="array" ref="AP429">IF($C429&lt;&gt;"bitte wählen",INDEX(ListeLebensmittelIFEU,AP$189+1,$P429),"")</f>
        <v/>
      </c>
      <c r="AQ429" s="337" t="str" cm="1">
        <f t="array" ref="AQ429">IF($C429&lt;&gt;"bitte wählen",INDEX(ListeLebensmittelIFEU,AQ$189+1,$P429),"")</f>
        <v/>
      </c>
      <c r="AR429" s="337" t="str" cm="1">
        <f t="array" ref="AR429">IF($C429&lt;&gt;"bitte wählen",INDEX(ListeLebensmittelIFEU,AR$189+1,$P429),"")</f>
        <v/>
      </c>
      <c r="AS429" s="337" t="str" cm="1">
        <f t="array" ref="AS429">IF($C429&lt;&gt;"bitte wählen",INDEX(ListeLebensmittelIFEU,AS$189+1,$P429),"")</f>
        <v/>
      </c>
      <c r="AT429" s="337" t="str" cm="1">
        <f t="array" ref="AT429">IF($C429&lt;&gt;"bitte wählen",INDEX(ListeLebensmittelIFEU,AT$189+1,$P429),"")</f>
        <v/>
      </c>
      <c r="AU429" s="337" t="str" cm="1">
        <f t="array" ref="AU429">IF($C429&lt;&gt;"bitte wählen",INDEX(ListeLebensmittelIFEU,AU$189+1,$P429),"")</f>
        <v/>
      </c>
      <c r="AV429" s="337" t="str" cm="1">
        <f t="array" ref="AV429">IF($C429&lt;&gt;"bitte wählen",INDEX(ListeLebensmittelIFEU,AV$189+1,$P429),"")</f>
        <v/>
      </c>
      <c r="AW429" s="337" t="str" cm="1">
        <f t="array" ref="AW429">IF($C429&lt;&gt;"bitte wählen",INDEX(ListeLebensmittelIFEU,AW$189+1,$P429),"")</f>
        <v/>
      </c>
      <c r="AX429" s="337" t="str" cm="1">
        <f t="array" ref="AX429">IF($C429&lt;&gt;"bitte wählen",INDEX(ListeLebensmittelIFEU,AX$189+1,$P429),"")</f>
        <v/>
      </c>
      <c r="AY429" s="337" t="str" cm="1">
        <f t="array" ref="AY429">IF($C429&lt;&gt;"bitte wählen",INDEX(ListeLebensmittelIFEU,AY$189+1,$P429),"")</f>
        <v/>
      </c>
      <c r="AZ429" s="338" t="str" cm="1">
        <f t="array" ref="AZ429">IF($C429&lt;&gt;"bitte wählen",INDEX(ListeLebensmittelIFEU,AZ$189+1,$P429),"")</f>
        <v/>
      </c>
    </row>
    <row r="430" spans="1:52" x14ac:dyDescent="0.3">
      <c r="B430" s="105" t="str">
        <f>IF(R430,IF(E430/IF(D422="",1,D422)&lt;GewichtMittagessenMin,"Hinweis: Dies scheint eine relativ kleine Portion zu sein",IF(E430/IF(D422="",1,D422)&gt;GewichtMittagessenMax,"Hinweis: Dies scheint eine relativ große Portion zu sein","")),"")</f>
        <v/>
      </c>
      <c r="C430" s="78"/>
      <c r="D430" s="78"/>
      <c r="E430" s="355">
        <f>SUM(E424:E429)-SUMIF(C424:C429,"Getränke",E424:E429)</f>
        <v>0</v>
      </c>
      <c r="G430" s="15" t="s">
        <v>622</v>
      </c>
      <c r="H430" s="293">
        <f>SUM(H424:H429)</f>
        <v>0</v>
      </c>
      <c r="Q430" s="383" t="s">
        <v>1030</v>
      </c>
      <c r="R430" s="386" t="b">
        <f>IF(SUM(R424:R429)&gt;0,TRUE,FALSE)</f>
        <v>0</v>
      </c>
      <c r="S430" s="383">
        <f>SUM(S424:S429)</f>
        <v>0</v>
      </c>
      <c r="T430" s="383" t="s">
        <v>1029</v>
      </c>
      <c r="U430" s="383" t="str">
        <f>IF(R430,IF(S430&gt;9,10,IF(S430&gt;0,1,0)),"")</f>
        <v/>
      </c>
    </row>
    <row r="431" spans="1:52" x14ac:dyDescent="0.3">
      <c r="B431" s="385" t="str">
        <f>IF(U430=0,"🌱 vegan","")</f>
        <v/>
      </c>
      <c r="C431" s="105" t="str">
        <f>IF(U430=1,"Ⓥ vegetarisch","")</f>
        <v/>
      </c>
      <c r="D431" s="384" t="str">
        <f>IF(U430=10,"🥩 mit Fleisch/Fisch","")</f>
        <v/>
      </c>
      <c r="E431" s="78"/>
      <c r="G431" s="15" t="s">
        <v>623</v>
      </c>
      <c r="H431" s="294">
        <f>IF(D422="",H430,H430/D422)</f>
        <v>0</v>
      </c>
    </row>
    <row r="432" spans="1:52" x14ac:dyDescent="0.3">
      <c r="C432" s="78"/>
      <c r="D432" s="78"/>
      <c r="E432" s="78"/>
      <c r="G432" s="15"/>
      <c r="H432" s="15"/>
    </row>
    <row r="433" spans="1:52" ht="18" thickBot="1" x14ac:dyDescent="0.4">
      <c r="B433" s="496" t="str">
        <f>"CO₂-Bilanz Gericht 20: "&amp;D434</f>
        <v>CO₂-Bilanz Gericht 20: Menü 20</v>
      </c>
      <c r="C433" s="496"/>
      <c r="D433" s="496"/>
      <c r="E433" s="496"/>
      <c r="T433" s="84"/>
    </row>
    <row r="434" spans="1:52" ht="15" thickTop="1" x14ac:dyDescent="0.3">
      <c r="B434" t="s">
        <v>994</v>
      </c>
      <c r="D434" s="288" t="s">
        <v>1022</v>
      </c>
      <c r="F434" s="78"/>
      <c r="G434" s="78"/>
      <c r="H434" s="78"/>
      <c r="I434" s="78"/>
    </row>
    <row r="435" spans="1:52" x14ac:dyDescent="0.3">
      <c r="B435" t="s">
        <v>995</v>
      </c>
      <c r="C435" s="78"/>
      <c r="D435" s="291">
        <v>1</v>
      </c>
      <c r="E435" s="301" t="str">
        <f>IF(ISNUMBER(FIND("g",_xlfn.CONCAT(E437:E442))),"Bitte Menge als reine Zahl ohne Zusatz g eingeben","")</f>
        <v/>
      </c>
      <c r="G435" s="78"/>
      <c r="H435" s="78"/>
      <c r="T435" s="329" t="s">
        <v>918</v>
      </c>
      <c r="U435" s="330"/>
      <c r="V435" s="330"/>
      <c r="W435" s="330"/>
      <c r="X435" s="330"/>
      <c r="Y435" s="330"/>
    </row>
    <row r="436" spans="1:52" ht="44.4" x14ac:dyDescent="0.35">
      <c r="A436" s="376" t="s">
        <v>1217</v>
      </c>
      <c r="C436" s="297" t="s">
        <v>993</v>
      </c>
      <c r="D436" s="313" t="s">
        <v>992</v>
      </c>
      <c r="E436" s="298" t="s">
        <v>323</v>
      </c>
      <c r="F436" s="298" t="s">
        <v>324</v>
      </c>
      <c r="G436" s="296" t="s">
        <v>534</v>
      </c>
      <c r="H436" s="296" t="s">
        <v>535</v>
      </c>
      <c r="P436" s="356" t="s">
        <v>956</v>
      </c>
      <c r="Q436" s="356" t="s">
        <v>957</v>
      </c>
      <c r="R436" s="357" t="s">
        <v>958</v>
      </c>
      <c r="S436" s="357" t="s">
        <v>1028</v>
      </c>
      <c r="T436" s="361">
        <v>1</v>
      </c>
      <c r="U436" s="362">
        <v>2</v>
      </c>
      <c r="V436" s="362">
        <v>3</v>
      </c>
      <c r="W436" s="362">
        <v>4</v>
      </c>
      <c r="X436" s="362">
        <v>5</v>
      </c>
      <c r="Y436" s="362">
        <v>6</v>
      </c>
      <c r="Z436" s="362">
        <v>7</v>
      </c>
      <c r="AA436" s="362">
        <v>8</v>
      </c>
      <c r="AB436" s="362">
        <v>9</v>
      </c>
      <c r="AC436" s="362">
        <v>10</v>
      </c>
      <c r="AD436" s="362">
        <v>11</v>
      </c>
      <c r="AE436" s="362">
        <v>12</v>
      </c>
      <c r="AF436" s="362">
        <v>13</v>
      </c>
      <c r="AG436" s="362">
        <v>14</v>
      </c>
      <c r="AH436" s="362">
        <v>15</v>
      </c>
      <c r="AI436" s="362">
        <v>16</v>
      </c>
      <c r="AJ436" s="362">
        <v>17</v>
      </c>
      <c r="AK436" s="362">
        <v>18</v>
      </c>
      <c r="AL436" s="362">
        <v>19</v>
      </c>
      <c r="AM436" s="362">
        <v>20</v>
      </c>
      <c r="AN436" s="362">
        <v>21</v>
      </c>
      <c r="AO436" s="362">
        <v>22</v>
      </c>
      <c r="AP436" s="362">
        <v>23</v>
      </c>
      <c r="AQ436" s="362">
        <v>24</v>
      </c>
      <c r="AR436" s="362">
        <v>25</v>
      </c>
      <c r="AS436" s="362">
        <v>26</v>
      </c>
      <c r="AT436" s="362">
        <v>27</v>
      </c>
      <c r="AU436" s="362">
        <v>28</v>
      </c>
      <c r="AV436" s="362">
        <v>29</v>
      </c>
      <c r="AW436" s="362">
        <v>30</v>
      </c>
      <c r="AX436" s="362">
        <v>31</v>
      </c>
      <c r="AY436" s="362">
        <v>32</v>
      </c>
      <c r="AZ436" s="363">
        <v>33</v>
      </c>
    </row>
    <row r="437" spans="1:52" x14ac:dyDescent="0.3">
      <c r="B437" t="s">
        <v>13</v>
      </c>
      <c r="C437" s="471" t="s">
        <v>27</v>
      </c>
      <c r="D437" s="472"/>
      <c r="E437" s="470"/>
      <c r="F437" s="473" t="s">
        <v>12</v>
      </c>
      <c r="G437" s="350" t="str">
        <f t="shared" ref="G437:G442" si="122">IF(D437="","",R437*IF(F437="Ja",FaktorBeiLokalemProdukt,1))</f>
        <v/>
      </c>
      <c r="H437" s="293" t="str">
        <f t="shared" ref="H437:H442" si="123">IF(D437="","",E437*G437)</f>
        <v/>
      </c>
      <c r="P437" s="331">
        <f t="shared" ref="P437:P442" si="124">VLOOKUP(C437,$C$457:$D$464,2,FALSE)</f>
        <v>22</v>
      </c>
      <c r="Q437" s="332" t="e">
        <f>MATCH(D437,T437:AZ437,0)</f>
        <v>#N/A</v>
      </c>
      <c r="R437" s="358">
        <f t="shared" ref="R437:R442" si="125">_xlfn.IFNA(IF(D437&lt;&gt;"",VLOOKUP(D437,$C$544:$E$774,2,FALSE),0),0)</f>
        <v>0</v>
      </c>
      <c r="S437" s="358">
        <f t="shared" ref="S437:S442" si="126">_xlfn.IFNA(IF(D437&lt;&gt;"",VLOOKUP(D437,$C$544:$E$774,3,FALSE),0),0)</f>
        <v>0</v>
      </c>
      <c r="T437" s="333" t="str" cm="1">
        <f t="array" ref="T437">IF($C437&lt;&gt;"bitte wählen",INDEX(ListeLebensmittelIFEU,T$189+1,$P437),"")</f>
        <v/>
      </c>
      <c r="U437" s="334" t="str" cm="1">
        <f t="array" ref="U437">IF($C437&lt;&gt;"bitte wählen",INDEX(ListeLebensmittelIFEU,U$189+1,$P437),"")</f>
        <v/>
      </c>
      <c r="V437" s="334" t="str" cm="1">
        <f t="array" ref="V437">IF($C437&lt;&gt;"bitte wählen",INDEX(ListeLebensmittelIFEU,V$189+1,$P437),"")</f>
        <v/>
      </c>
      <c r="W437" s="334" t="str" cm="1">
        <f t="array" ref="W437">IF($C437&lt;&gt;"bitte wählen",INDEX(ListeLebensmittelIFEU,W$189+1,$P437),"")</f>
        <v/>
      </c>
      <c r="X437" s="334" t="str" cm="1">
        <f t="array" ref="X437">IF($C437&lt;&gt;"bitte wählen",INDEX(ListeLebensmittelIFEU,X$189+1,$P437),"")</f>
        <v/>
      </c>
      <c r="Y437" s="334" t="str" cm="1">
        <f t="array" ref="Y437">IF($C437&lt;&gt;"bitte wählen",INDEX(ListeLebensmittelIFEU,Y$189+1,$P437),"")</f>
        <v/>
      </c>
      <c r="Z437" s="334" t="str" cm="1">
        <f t="array" ref="Z437">IF($C437&lt;&gt;"bitte wählen",INDEX(ListeLebensmittelIFEU,Z$189+1,$P437),"")</f>
        <v/>
      </c>
      <c r="AA437" s="334" t="str" cm="1">
        <f t="array" ref="AA437">IF($C437&lt;&gt;"bitte wählen",INDEX(ListeLebensmittelIFEU,AA$189+1,$P437),"")</f>
        <v/>
      </c>
      <c r="AB437" s="334" t="str" cm="1">
        <f t="array" ref="AB437">IF($C437&lt;&gt;"bitte wählen",INDEX(ListeLebensmittelIFEU,AB$189+1,$P437),"")</f>
        <v/>
      </c>
      <c r="AC437" s="334" t="str" cm="1">
        <f t="array" ref="AC437">IF($C437&lt;&gt;"bitte wählen",INDEX(ListeLebensmittelIFEU,AC$189+1,$P437),"")</f>
        <v/>
      </c>
      <c r="AD437" s="334" t="str" cm="1">
        <f t="array" ref="AD437">IF($C437&lt;&gt;"bitte wählen",INDEX(ListeLebensmittelIFEU,AD$189+1,$P437),"")</f>
        <v/>
      </c>
      <c r="AE437" s="334" t="str" cm="1">
        <f t="array" ref="AE437">IF($C437&lt;&gt;"bitte wählen",INDEX(ListeLebensmittelIFEU,AE$189+1,$P437),"")</f>
        <v/>
      </c>
      <c r="AF437" s="334" t="str" cm="1">
        <f t="array" ref="AF437">IF($C437&lt;&gt;"bitte wählen",INDEX(ListeLebensmittelIFEU,AF$189+1,$P437),"")</f>
        <v/>
      </c>
      <c r="AG437" s="334" t="str" cm="1">
        <f t="array" ref="AG437">IF($C437&lt;&gt;"bitte wählen",INDEX(ListeLebensmittelIFEU,AG$189+1,$P437),"")</f>
        <v/>
      </c>
      <c r="AH437" s="334" t="str" cm="1">
        <f t="array" ref="AH437">IF($C437&lt;&gt;"bitte wählen",INDEX(ListeLebensmittelIFEU,AH$189+1,$P437),"")</f>
        <v/>
      </c>
      <c r="AI437" s="334" t="str" cm="1">
        <f t="array" ref="AI437">IF($C437&lt;&gt;"bitte wählen",INDEX(ListeLebensmittelIFEU,AI$189+1,$P437),"")</f>
        <v/>
      </c>
      <c r="AJ437" s="334" t="str" cm="1">
        <f t="array" ref="AJ437">IF($C437&lt;&gt;"bitte wählen",INDEX(ListeLebensmittelIFEU,AJ$189+1,$P437),"")</f>
        <v/>
      </c>
      <c r="AK437" s="334" t="str" cm="1">
        <f t="array" ref="AK437">IF($C437&lt;&gt;"bitte wählen",INDEX(ListeLebensmittelIFEU,AK$189+1,$P437),"")</f>
        <v/>
      </c>
      <c r="AL437" s="334" t="str" cm="1">
        <f t="array" ref="AL437">IF($C437&lt;&gt;"bitte wählen",INDEX(ListeLebensmittelIFEU,AL$189+1,$P437),"")</f>
        <v/>
      </c>
      <c r="AM437" s="334" t="str" cm="1">
        <f t="array" ref="AM437">IF($C437&lt;&gt;"bitte wählen",INDEX(ListeLebensmittelIFEU,AM$189+1,$P437),"")</f>
        <v/>
      </c>
      <c r="AN437" s="334" t="str" cm="1">
        <f t="array" ref="AN437">IF($C437&lt;&gt;"bitte wählen",INDEX(ListeLebensmittelIFEU,AN$189+1,$P437),"")</f>
        <v/>
      </c>
      <c r="AO437" s="334" t="str" cm="1">
        <f t="array" ref="AO437">IF($C437&lt;&gt;"bitte wählen",INDEX(ListeLebensmittelIFEU,AO$189+1,$P437),"")</f>
        <v/>
      </c>
      <c r="AP437" s="334" t="str" cm="1">
        <f t="array" ref="AP437">IF($C437&lt;&gt;"bitte wählen",INDEX(ListeLebensmittelIFEU,AP$189+1,$P437),"")</f>
        <v/>
      </c>
      <c r="AQ437" s="334" t="str" cm="1">
        <f t="array" ref="AQ437">IF($C437&lt;&gt;"bitte wählen",INDEX(ListeLebensmittelIFEU,AQ$189+1,$P437),"")</f>
        <v/>
      </c>
      <c r="AR437" s="334" t="str" cm="1">
        <f t="array" ref="AR437">IF($C437&lt;&gt;"bitte wählen",INDEX(ListeLebensmittelIFEU,AR$189+1,$P437),"")</f>
        <v/>
      </c>
      <c r="AS437" s="334" t="str" cm="1">
        <f t="array" ref="AS437">IF($C437&lt;&gt;"bitte wählen",INDEX(ListeLebensmittelIFEU,AS$189+1,$P437),"")</f>
        <v/>
      </c>
      <c r="AT437" s="334" t="str" cm="1">
        <f t="array" ref="AT437">IF($C437&lt;&gt;"bitte wählen",INDEX(ListeLebensmittelIFEU,AT$189+1,$P437),"")</f>
        <v/>
      </c>
      <c r="AU437" s="334" t="str" cm="1">
        <f t="array" ref="AU437">IF($C437&lt;&gt;"bitte wählen",INDEX(ListeLebensmittelIFEU,AU$189+1,$P437),"")</f>
        <v/>
      </c>
      <c r="AV437" s="334" t="str" cm="1">
        <f t="array" ref="AV437">IF($C437&lt;&gt;"bitte wählen",INDEX(ListeLebensmittelIFEU,AV$189+1,$P437),"")</f>
        <v/>
      </c>
      <c r="AW437" s="334" t="str" cm="1">
        <f t="array" ref="AW437">IF($C437&lt;&gt;"bitte wählen",INDEX(ListeLebensmittelIFEU,AW$189+1,$P437),"")</f>
        <v/>
      </c>
      <c r="AX437" s="334" t="str" cm="1">
        <f t="array" ref="AX437">IF($C437&lt;&gt;"bitte wählen",INDEX(ListeLebensmittelIFEU,AX$189+1,$P437),"")</f>
        <v/>
      </c>
      <c r="AY437" s="334" t="str" cm="1">
        <f t="array" ref="AY437">IF($C437&lt;&gt;"bitte wählen",INDEX(ListeLebensmittelIFEU,AY$189+1,$P437),"")</f>
        <v/>
      </c>
      <c r="AZ437" s="335" t="str" cm="1">
        <f t="array" ref="AZ437">IF($C437&lt;&gt;"bitte wählen",INDEX(ListeLebensmittelIFEU,AZ$189+1,$P437),"")</f>
        <v/>
      </c>
    </row>
    <row r="438" spans="1:52" x14ac:dyDescent="0.3">
      <c r="B438" t="s">
        <v>327</v>
      </c>
      <c r="C438" s="471" t="s">
        <v>27</v>
      </c>
      <c r="D438" s="472"/>
      <c r="E438" s="349"/>
      <c r="F438" s="473" t="s">
        <v>12</v>
      </c>
      <c r="G438" s="350" t="str">
        <f t="shared" si="122"/>
        <v/>
      </c>
      <c r="H438" s="293" t="str">
        <f t="shared" si="123"/>
        <v/>
      </c>
      <c r="P438" s="333">
        <f t="shared" si="124"/>
        <v>22</v>
      </c>
      <c r="Q438" s="334" t="e">
        <f t="shared" ref="Q438:Q442" si="127">MATCH(D438,T438:AZ438,0)</f>
        <v>#N/A</v>
      </c>
      <c r="R438" s="359">
        <f t="shared" si="125"/>
        <v>0</v>
      </c>
      <c r="S438" s="380">
        <f t="shared" si="126"/>
        <v>0</v>
      </c>
      <c r="T438" s="333" t="str" cm="1">
        <f t="array" ref="T438">IF($C438&lt;&gt;"bitte wählen",INDEX(ListeLebensmittelIFEU,T$189+1,$P438),"")</f>
        <v/>
      </c>
      <c r="U438" s="334" t="str" cm="1">
        <f t="array" ref="U438">IF($C438&lt;&gt;"bitte wählen",INDEX(ListeLebensmittelIFEU,U$189+1,$P438),"")</f>
        <v/>
      </c>
      <c r="V438" s="334" t="str" cm="1">
        <f t="array" ref="V438">IF($C438&lt;&gt;"bitte wählen",INDEX(ListeLebensmittelIFEU,V$189+1,$P438),"")</f>
        <v/>
      </c>
      <c r="W438" s="334" t="str" cm="1">
        <f t="array" ref="W438">IF($C438&lt;&gt;"bitte wählen",INDEX(ListeLebensmittelIFEU,W$189+1,$P438),"")</f>
        <v/>
      </c>
      <c r="X438" s="334" t="str" cm="1">
        <f t="array" ref="X438">IF($C438&lt;&gt;"bitte wählen",INDEX(ListeLebensmittelIFEU,X$189+1,$P438),"")</f>
        <v/>
      </c>
      <c r="Y438" s="334" t="str" cm="1">
        <f t="array" ref="Y438">IF($C438&lt;&gt;"bitte wählen",INDEX(ListeLebensmittelIFEU,Y$189+1,$P438),"")</f>
        <v/>
      </c>
      <c r="Z438" s="334" t="str" cm="1">
        <f t="array" ref="Z438">IF($C438&lt;&gt;"bitte wählen",INDEX(ListeLebensmittelIFEU,Z$189+1,$P438),"")</f>
        <v/>
      </c>
      <c r="AA438" s="334" t="str" cm="1">
        <f t="array" ref="AA438">IF($C438&lt;&gt;"bitte wählen",INDEX(ListeLebensmittelIFEU,AA$189+1,$P438),"")</f>
        <v/>
      </c>
      <c r="AB438" s="334" t="str" cm="1">
        <f t="array" ref="AB438">IF($C438&lt;&gt;"bitte wählen",INDEX(ListeLebensmittelIFEU,AB$189+1,$P438),"")</f>
        <v/>
      </c>
      <c r="AC438" s="334" t="str" cm="1">
        <f t="array" ref="AC438">IF($C438&lt;&gt;"bitte wählen",INDEX(ListeLebensmittelIFEU,AC$189+1,$P438),"")</f>
        <v/>
      </c>
      <c r="AD438" s="334" t="str" cm="1">
        <f t="array" ref="AD438">IF($C438&lt;&gt;"bitte wählen",INDEX(ListeLebensmittelIFEU,AD$189+1,$P438),"")</f>
        <v/>
      </c>
      <c r="AE438" s="334" t="str" cm="1">
        <f t="array" ref="AE438">IF($C438&lt;&gt;"bitte wählen",INDEX(ListeLebensmittelIFEU,AE$189+1,$P438),"")</f>
        <v/>
      </c>
      <c r="AF438" s="334" t="str" cm="1">
        <f t="array" ref="AF438">IF($C438&lt;&gt;"bitte wählen",INDEX(ListeLebensmittelIFEU,AF$189+1,$P438),"")</f>
        <v/>
      </c>
      <c r="AG438" s="334" t="str" cm="1">
        <f t="array" ref="AG438">IF($C438&lt;&gt;"bitte wählen",INDEX(ListeLebensmittelIFEU,AG$189+1,$P438),"")</f>
        <v/>
      </c>
      <c r="AH438" s="334" t="str" cm="1">
        <f t="array" ref="AH438">IF($C438&lt;&gt;"bitte wählen",INDEX(ListeLebensmittelIFEU,AH$189+1,$P438),"")</f>
        <v/>
      </c>
      <c r="AI438" s="334" t="str" cm="1">
        <f t="array" ref="AI438">IF($C438&lt;&gt;"bitte wählen",INDEX(ListeLebensmittelIFEU,AI$189+1,$P438),"")</f>
        <v/>
      </c>
      <c r="AJ438" s="334" t="str" cm="1">
        <f t="array" ref="AJ438">IF($C438&lt;&gt;"bitte wählen",INDEX(ListeLebensmittelIFEU,AJ$189+1,$P438),"")</f>
        <v/>
      </c>
      <c r="AK438" s="334" t="str" cm="1">
        <f t="array" ref="AK438">IF($C438&lt;&gt;"bitte wählen",INDEX(ListeLebensmittelIFEU,AK$189+1,$P438),"")</f>
        <v/>
      </c>
      <c r="AL438" s="334" t="str" cm="1">
        <f t="array" ref="AL438">IF($C438&lt;&gt;"bitte wählen",INDEX(ListeLebensmittelIFEU,AL$189+1,$P438),"")</f>
        <v/>
      </c>
      <c r="AM438" s="334" t="str" cm="1">
        <f t="array" ref="AM438">IF($C438&lt;&gt;"bitte wählen",INDEX(ListeLebensmittelIFEU,AM$189+1,$P438),"")</f>
        <v/>
      </c>
      <c r="AN438" s="334" t="str" cm="1">
        <f t="array" ref="AN438">IF($C438&lt;&gt;"bitte wählen",INDEX(ListeLebensmittelIFEU,AN$189+1,$P438),"")</f>
        <v/>
      </c>
      <c r="AO438" s="334" t="str" cm="1">
        <f t="array" ref="AO438">IF($C438&lt;&gt;"bitte wählen",INDEX(ListeLebensmittelIFEU,AO$189+1,$P438),"")</f>
        <v/>
      </c>
      <c r="AP438" s="334" t="str" cm="1">
        <f t="array" ref="AP438">IF($C438&lt;&gt;"bitte wählen",INDEX(ListeLebensmittelIFEU,AP$189+1,$P438),"")</f>
        <v/>
      </c>
      <c r="AQ438" s="334" t="str" cm="1">
        <f t="array" ref="AQ438">IF($C438&lt;&gt;"bitte wählen",INDEX(ListeLebensmittelIFEU,AQ$189+1,$P438),"")</f>
        <v/>
      </c>
      <c r="AR438" s="334" t="str" cm="1">
        <f t="array" ref="AR438">IF($C438&lt;&gt;"bitte wählen",INDEX(ListeLebensmittelIFEU,AR$189+1,$P438),"")</f>
        <v/>
      </c>
      <c r="AS438" s="334" t="str" cm="1">
        <f t="array" ref="AS438">IF($C438&lt;&gt;"bitte wählen",INDEX(ListeLebensmittelIFEU,AS$189+1,$P438),"")</f>
        <v/>
      </c>
      <c r="AT438" s="334" t="str" cm="1">
        <f t="array" ref="AT438">IF($C438&lt;&gt;"bitte wählen",INDEX(ListeLebensmittelIFEU,AT$189+1,$P438),"")</f>
        <v/>
      </c>
      <c r="AU438" s="334" t="str" cm="1">
        <f t="array" ref="AU438">IF($C438&lt;&gt;"bitte wählen",INDEX(ListeLebensmittelIFEU,AU$189+1,$P438),"")</f>
        <v/>
      </c>
      <c r="AV438" s="334" t="str" cm="1">
        <f t="array" ref="AV438">IF($C438&lt;&gt;"bitte wählen",INDEX(ListeLebensmittelIFEU,AV$189+1,$P438),"")</f>
        <v/>
      </c>
      <c r="AW438" s="334" t="str" cm="1">
        <f t="array" ref="AW438">IF($C438&lt;&gt;"bitte wählen",INDEX(ListeLebensmittelIFEU,AW$189+1,$P438),"")</f>
        <v/>
      </c>
      <c r="AX438" s="334" t="str" cm="1">
        <f t="array" ref="AX438">IF($C438&lt;&gt;"bitte wählen",INDEX(ListeLebensmittelIFEU,AX$189+1,$P438),"")</f>
        <v/>
      </c>
      <c r="AY438" s="334" t="str" cm="1">
        <f t="array" ref="AY438">IF($C438&lt;&gt;"bitte wählen",INDEX(ListeLebensmittelIFEU,AY$189+1,$P438),"")</f>
        <v/>
      </c>
      <c r="AZ438" s="335" t="str" cm="1">
        <f t="array" ref="AZ438">IF($C438&lt;&gt;"bitte wählen",INDEX(ListeLebensmittelIFEU,AZ$189+1,$P438),"")</f>
        <v/>
      </c>
    </row>
    <row r="439" spans="1:52" x14ac:dyDescent="0.3">
      <c r="B439" t="s">
        <v>328</v>
      </c>
      <c r="C439" s="471" t="s">
        <v>27</v>
      </c>
      <c r="D439" s="472"/>
      <c r="E439" s="349"/>
      <c r="F439" s="473" t="s">
        <v>12</v>
      </c>
      <c r="G439" s="350" t="str">
        <f t="shared" si="122"/>
        <v/>
      </c>
      <c r="H439" s="293" t="str">
        <f t="shared" si="123"/>
        <v/>
      </c>
      <c r="P439" s="333">
        <f t="shared" si="124"/>
        <v>22</v>
      </c>
      <c r="Q439" s="334" t="e">
        <f t="shared" si="127"/>
        <v>#N/A</v>
      </c>
      <c r="R439" s="359">
        <f t="shared" si="125"/>
        <v>0</v>
      </c>
      <c r="S439" s="380">
        <f t="shared" si="126"/>
        <v>0</v>
      </c>
      <c r="T439" s="333" t="str" cm="1">
        <f t="array" ref="T439">IF($C439&lt;&gt;"bitte wählen",INDEX(ListeLebensmittelIFEU,T$189+1,$P439),"")</f>
        <v/>
      </c>
      <c r="U439" s="334" t="str" cm="1">
        <f t="array" ref="U439">IF($C439&lt;&gt;"bitte wählen",INDEX(ListeLebensmittelIFEU,U$189+1,$P439),"")</f>
        <v/>
      </c>
      <c r="V439" s="334" t="str" cm="1">
        <f t="array" ref="V439">IF($C439&lt;&gt;"bitte wählen",INDEX(ListeLebensmittelIFEU,V$189+1,$P439),"")</f>
        <v/>
      </c>
      <c r="W439" s="334" t="str" cm="1">
        <f t="array" ref="W439">IF($C439&lt;&gt;"bitte wählen",INDEX(ListeLebensmittelIFEU,W$189+1,$P439),"")</f>
        <v/>
      </c>
      <c r="X439" s="334" t="str" cm="1">
        <f t="array" ref="X439">IF($C439&lt;&gt;"bitte wählen",INDEX(ListeLebensmittelIFEU,X$189+1,$P439),"")</f>
        <v/>
      </c>
      <c r="Y439" s="334" t="str" cm="1">
        <f t="array" ref="Y439">IF($C439&lt;&gt;"bitte wählen",INDEX(ListeLebensmittelIFEU,Y$189+1,$P439),"")</f>
        <v/>
      </c>
      <c r="Z439" s="334" t="str" cm="1">
        <f t="array" ref="Z439">IF($C439&lt;&gt;"bitte wählen",INDEX(ListeLebensmittelIFEU,Z$189+1,$P439),"")</f>
        <v/>
      </c>
      <c r="AA439" s="334" t="str" cm="1">
        <f t="array" ref="AA439">IF($C439&lt;&gt;"bitte wählen",INDEX(ListeLebensmittelIFEU,AA$189+1,$P439),"")</f>
        <v/>
      </c>
      <c r="AB439" s="334" t="str" cm="1">
        <f t="array" ref="AB439">IF($C439&lt;&gt;"bitte wählen",INDEX(ListeLebensmittelIFEU,AB$189+1,$P439),"")</f>
        <v/>
      </c>
      <c r="AC439" s="334" t="str" cm="1">
        <f t="array" ref="AC439">IF($C439&lt;&gt;"bitte wählen",INDEX(ListeLebensmittelIFEU,AC$189+1,$P439),"")</f>
        <v/>
      </c>
      <c r="AD439" s="334" t="str" cm="1">
        <f t="array" ref="AD439">IF($C439&lt;&gt;"bitte wählen",INDEX(ListeLebensmittelIFEU,AD$189+1,$P439),"")</f>
        <v/>
      </c>
      <c r="AE439" s="334" t="str" cm="1">
        <f t="array" ref="AE439">IF($C439&lt;&gt;"bitte wählen",INDEX(ListeLebensmittelIFEU,AE$189+1,$P439),"")</f>
        <v/>
      </c>
      <c r="AF439" s="334" t="str" cm="1">
        <f t="array" ref="AF439">IF($C439&lt;&gt;"bitte wählen",INDEX(ListeLebensmittelIFEU,AF$189+1,$P439),"")</f>
        <v/>
      </c>
      <c r="AG439" s="334" t="str" cm="1">
        <f t="array" ref="AG439">IF($C439&lt;&gt;"bitte wählen",INDEX(ListeLebensmittelIFEU,AG$189+1,$P439),"")</f>
        <v/>
      </c>
      <c r="AH439" s="334" t="str" cm="1">
        <f t="array" ref="AH439">IF($C439&lt;&gt;"bitte wählen",INDEX(ListeLebensmittelIFEU,AH$189+1,$P439),"")</f>
        <v/>
      </c>
      <c r="AI439" s="334" t="str" cm="1">
        <f t="array" ref="AI439">IF($C439&lt;&gt;"bitte wählen",INDEX(ListeLebensmittelIFEU,AI$189+1,$P439),"")</f>
        <v/>
      </c>
      <c r="AJ439" s="334" t="str" cm="1">
        <f t="array" ref="AJ439">IF($C439&lt;&gt;"bitte wählen",INDEX(ListeLebensmittelIFEU,AJ$189+1,$P439),"")</f>
        <v/>
      </c>
      <c r="AK439" s="334" t="str" cm="1">
        <f t="array" ref="AK439">IF($C439&lt;&gt;"bitte wählen",INDEX(ListeLebensmittelIFEU,AK$189+1,$P439),"")</f>
        <v/>
      </c>
      <c r="AL439" s="334" t="str" cm="1">
        <f t="array" ref="AL439">IF($C439&lt;&gt;"bitte wählen",INDEX(ListeLebensmittelIFEU,AL$189+1,$P439),"")</f>
        <v/>
      </c>
      <c r="AM439" s="334" t="str" cm="1">
        <f t="array" ref="AM439">IF($C439&lt;&gt;"bitte wählen",INDEX(ListeLebensmittelIFEU,AM$189+1,$P439),"")</f>
        <v/>
      </c>
      <c r="AN439" s="334" t="str" cm="1">
        <f t="array" ref="AN439">IF($C439&lt;&gt;"bitte wählen",INDEX(ListeLebensmittelIFEU,AN$189+1,$P439),"")</f>
        <v/>
      </c>
      <c r="AO439" s="334" t="str" cm="1">
        <f t="array" ref="AO439">IF($C439&lt;&gt;"bitte wählen",INDEX(ListeLebensmittelIFEU,AO$189+1,$P439),"")</f>
        <v/>
      </c>
      <c r="AP439" s="334" t="str" cm="1">
        <f t="array" ref="AP439">IF($C439&lt;&gt;"bitte wählen",INDEX(ListeLebensmittelIFEU,AP$189+1,$P439),"")</f>
        <v/>
      </c>
      <c r="AQ439" s="334" t="str" cm="1">
        <f t="array" ref="AQ439">IF($C439&lt;&gt;"bitte wählen",INDEX(ListeLebensmittelIFEU,AQ$189+1,$P439),"")</f>
        <v/>
      </c>
      <c r="AR439" s="334" t="str" cm="1">
        <f t="array" ref="AR439">IF($C439&lt;&gt;"bitte wählen",INDEX(ListeLebensmittelIFEU,AR$189+1,$P439),"")</f>
        <v/>
      </c>
      <c r="AS439" s="334" t="str" cm="1">
        <f t="array" ref="AS439">IF($C439&lt;&gt;"bitte wählen",INDEX(ListeLebensmittelIFEU,AS$189+1,$P439),"")</f>
        <v/>
      </c>
      <c r="AT439" s="334" t="str" cm="1">
        <f t="array" ref="AT439">IF($C439&lt;&gt;"bitte wählen",INDEX(ListeLebensmittelIFEU,AT$189+1,$P439),"")</f>
        <v/>
      </c>
      <c r="AU439" s="334" t="str" cm="1">
        <f t="array" ref="AU439">IF($C439&lt;&gt;"bitte wählen",INDEX(ListeLebensmittelIFEU,AU$189+1,$P439),"")</f>
        <v/>
      </c>
      <c r="AV439" s="334" t="str" cm="1">
        <f t="array" ref="AV439">IF($C439&lt;&gt;"bitte wählen",INDEX(ListeLebensmittelIFEU,AV$189+1,$P439),"")</f>
        <v/>
      </c>
      <c r="AW439" s="334" t="str" cm="1">
        <f t="array" ref="AW439">IF($C439&lt;&gt;"bitte wählen",INDEX(ListeLebensmittelIFEU,AW$189+1,$P439),"")</f>
        <v/>
      </c>
      <c r="AX439" s="334" t="str" cm="1">
        <f t="array" ref="AX439">IF($C439&lt;&gt;"bitte wählen",INDEX(ListeLebensmittelIFEU,AX$189+1,$P439),"")</f>
        <v/>
      </c>
      <c r="AY439" s="334" t="str" cm="1">
        <f t="array" ref="AY439">IF($C439&lt;&gt;"bitte wählen",INDEX(ListeLebensmittelIFEU,AY$189+1,$P439),"")</f>
        <v/>
      </c>
      <c r="AZ439" s="335" t="str" cm="1">
        <f t="array" ref="AZ439">IF($C439&lt;&gt;"bitte wählen",INDEX(ListeLebensmittelIFEU,AZ$189+1,$P439),"")</f>
        <v/>
      </c>
    </row>
    <row r="440" spans="1:52" x14ac:dyDescent="0.3">
      <c r="B440" t="s">
        <v>329</v>
      </c>
      <c r="C440" s="471" t="s">
        <v>27</v>
      </c>
      <c r="D440" s="472"/>
      <c r="E440" s="349"/>
      <c r="F440" s="473" t="s">
        <v>12</v>
      </c>
      <c r="G440" s="350" t="str">
        <f t="shared" si="122"/>
        <v/>
      </c>
      <c r="H440" s="293" t="str">
        <f t="shared" si="123"/>
        <v/>
      </c>
      <c r="P440" s="333">
        <f t="shared" si="124"/>
        <v>22</v>
      </c>
      <c r="Q440" s="334" t="e">
        <f t="shared" si="127"/>
        <v>#N/A</v>
      </c>
      <c r="R440" s="359">
        <f t="shared" si="125"/>
        <v>0</v>
      </c>
      <c r="S440" s="380">
        <f t="shared" si="126"/>
        <v>0</v>
      </c>
      <c r="T440" s="333" t="str" cm="1">
        <f t="array" ref="T440">IF($C440&lt;&gt;"bitte wählen",INDEX(ListeLebensmittelIFEU,T$189+1,$P440),"")</f>
        <v/>
      </c>
      <c r="U440" s="334" t="str" cm="1">
        <f t="array" ref="U440">IF($C440&lt;&gt;"bitte wählen",INDEX(ListeLebensmittelIFEU,U$189+1,$P440),"")</f>
        <v/>
      </c>
      <c r="V440" s="334" t="str" cm="1">
        <f t="array" ref="V440">IF($C440&lt;&gt;"bitte wählen",INDEX(ListeLebensmittelIFEU,V$189+1,$P440),"")</f>
        <v/>
      </c>
      <c r="W440" s="334" t="str" cm="1">
        <f t="array" ref="W440">IF($C440&lt;&gt;"bitte wählen",INDEX(ListeLebensmittelIFEU,W$189+1,$P440),"")</f>
        <v/>
      </c>
      <c r="X440" s="334" t="str" cm="1">
        <f t="array" ref="X440">IF($C440&lt;&gt;"bitte wählen",INDEX(ListeLebensmittelIFEU,X$189+1,$P440),"")</f>
        <v/>
      </c>
      <c r="Y440" s="334" t="str" cm="1">
        <f t="array" ref="Y440">IF($C440&lt;&gt;"bitte wählen",INDEX(ListeLebensmittelIFEU,Y$189+1,$P440),"")</f>
        <v/>
      </c>
      <c r="Z440" s="334" t="str" cm="1">
        <f t="array" ref="Z440">IF($C440&lt;&gt;"bitte wählen",INDEX(ListeLebensmittelIFEU,Z$189+1,$P440),"")</f>
        <v/>
      </c>
      <c r="AA440" s="334" t="str" cm="1">
        <f t="array" ref="AA440">IF($C440&lt;&gt;"bitte wählen",INDEX(ListeLebensmittelIFEU,AA$189+1,$P440),"")</f>
        <v/>
      </c>
      <c r="AB440" s="334" t="str" cm="1">
        <f t="array" ref="AB440">IF($C440&lt;&gt;"bitte wählen",INDEX(ListeLebensmittelIFEU,AB$189+1,$P440),"")</f>
        <v/>
      </c>
      <c r="AC440" s="334" t="str" cm="1">
        <f t="array" ref="AC440">IF($C440&lt;&gt;"bitte wählen",INDEX(ListeLebensmittelIFEU,AC$189+1,$P440),"")</f>
        <v/>
      </c>
      <c r="AD440" s="334" t="str" cm="1">
        <f t="array" ref="AD440">IF($C440&lt;&gt;"bitte wählen",INDEX(ListeLebensmittelIFEU,AD$189+1,$P440),"")</f>
        <v/>
      </c>
      <c r="AE440" s="334" t="str" cm="1">
        <f t="array" ref="AE440">IF($C440&lt;&gt;"bitte wählen",INDEX(ListeLebensmittelIFEU,AE$189+1,$P440),"")</f>
        <v/>
      </c>
      <c r="AF440" s="334" t="str" cm="1">
        <f t="array" ref="AF440">IF($C440&lt;&gt;"bitte wählen",INDEX(ListeLebensmittelIFEU,AF$189+1,$P440),"")</f>
        <v/>
      </c>
      <c r="AG440" s="334" t="str" cm="1">
        <f t="array" ref="AG440">IF($C440&lt;&gt;"bitte wählen",INDEX(ListeLebensmittelIFEU,AG$189+1,$P440),"")</f>
        <v/>
      </c>
      <c r="AH440" s="334" t="str" cm="1">
        <f t="array" ref="AH440">IF($C440&lt;&gt;"bitte wählen",INDEX(ListeLebensmittelIFEU,AH$189+1,$P440),"")</f>
        <v/>
      </c>
      <c r="AI440" s="334" t="str" cm="1">
        <f t="array" ref="AI440">IF($C440&lt;&gt;"bitte wählen",INDEX(ListeLebensmittelIFEU,AI$189+1,$P440),"")</f>
        <v/>
      </c>
      <c r="AJ440" s="334" t="str" cm="1">
        <f t="array" ref="AJ440">IF($C440&lt;&gt;"bitte wählen",INDEX(ListeLebensmittelIFEU,AJ$189+1,$P440),"")</f>
        <v/>
      </c>
      <c r="AK440" s="334" t="str" cm="1">
        <f t="array" ref="AK440">IF($C440&lt;&gt;"bitte wählen",INDEX(ListeLebensmittelIFEU,AK$189+1,$P440),"")</f>
        <v/>
      </c>
      <c r="AL440" s="334" t="str" cm="1">
        <f t="array" ref="AL440">IF($C440&lt;&gt;"bitte wählen",INDEX(ListeLebensmittelIFEU,AL$189+1,$P440),"")</f>
        <v/>
      </c>
      <c r="AM440" s="334" t="str" cm="1">
        <f t="array" ref="AM440">IF($C440&lt;&gt;"bitte wählen",INDEX(ListeLebensmittelIFEU,AM$189+1,$P440),"")</f>
        <v/>
      </c>
      <c r="AN440" s="334" t="str" cm="1">
        <f t="array" ref="AN440">IF($C440&lt;&gt;"bitte wählen",INDEX(ListeLebensmittelIFEU,AN$189+1,$P440),"")</f>
        <v/>
      </c>
      <c r="AO440" s="334" t="str" cm="1">
        <f t="array" ref="AO440">IF($C440&lt;&gt;"bitte wählen",INDEX(ListeLebensmittelIFEU,AO$189+1,$P440),"")</f>
        <v/>
      </c>
      <c r="AP440" s="334" t="str" cm="1">
        <f t="array" ref="AP440">IF($C440&lt;&gt;"bitte wählen",INDEX(ListeLebensmittelIFEU,AP$189+1,$P440),"")</f>
        <v/>
      </c>
      <c r="AQ440" s="334" t="str" cm="1">
        <f t="array" ref="AQ440">IF($C440&lt;&gt;"bitte wählen",INDEX(ListeLebensmittelIFEU,AQ$189+1,$P440),"")</f>
        <v/>
      </c>
      <c r="AR440" s="334" t="str" cm="1">
        <f t="array" ref="AR440">IF($C440&lt;&gt;"bitte wählen",INDEX(ListeLebensmittelIFEU,AR$189+1,$P440),"")</f>
        <v/>
      </c>
      <c r="AS440" s="334" t="str" cm="1">
        <f t="array" ref="AS440">IF($C440&lt;&gt;"bitte wählen",INDEX(ListeLebensmittelIFEU,AS$189+1,$P440),"")</f>
        <v/>
      </c>
      <c r="AT440" s="334" t="str" cm="1">
        <f t="array" ref="AT440">IF($C440&lt;&gt;"bitte wählen",INDEX(ListeLebensmittelIFEU,AT$189+1,$P440),"")</f>
        <v/>
      </c>
      <c r="AU440" s="334" t="str" cm="1">
        <f t="array" ref="AU440">IF($C440&lt;&gt;"bitte wählen",INDEX(ListeLebensmittelIFEU,AU$189+1,$P440),"")</f>
        <v/>
      </c>
      <c r="AV440" s="334" t="str" cm="1">
        <f t="array" ref="AV440">IF($C440&lt;&gt;"bitte wählen",INDEX(ListeLebensmittelIFEU,AV$189+1,$P440),"")</f>
        <v/>
      </c>
      <c r="AW440" s="334" t="str" cm="1">
        <f t="array" ref="AW440">IF($C440&lt;&gt;"bitte wählen",INDEX(ListeLebensmittelIFEU,AW$189+1,$P440),"")</f>
        <v/>
      </c>
      <c r="AX440" s="334" t="str" cm="1">
        <f t="array" ref="AX440">IF($C440&lt;&gt;"bitte wählen",INDEX(ListeLebensmittelIFEU,AX$189+1,$P440),"")</f>
        <v/>
      </c>
      <c r="AY440" s="334" t="str" cm="1">
        <f t="array" ref="AY440">IF($C440&lt;&gt;"bitte wählen",INDEX(ListeLebensmittelIFEU,AY$189+1,$P440),"")</f>
        <v/>
      </c>
      <c r="AZ440" s="335" t="str" cm="1">
        <f t="array" ref="AZ440">IF($C440&lt;&gt;"bitte wählen",INDEX(ListeLebensmittelIFEU,AZ$189+1,$P440),"")</f>
        <v/>
      </c>
    </row>
    <row r="441" spans="1:52" x14ac:dyDescent="0.3">
      <c r="B441" t="s">
        <v>330</v>
      </c>
      <c r="C441" s="471" t="s">
        <v>27</v>
      </c>
      <c r="D441" s="472"/>
      <c r="E441" s="349"/>
      <c r="F441" s="473" t="s">
        <v>12</v>
      </c>
      <c r="G441" s="350" t="str">
        <f t="shared" si="122"/>
        <v/>
      </c>
      <c r="H441" s="293" t="str">
        <f t="shared" si="123"/>
        <v/>
      </c>
      <c r="P441" s="333">
        <f t="shared" si="124"/>
        <v>22</v>
      </c>
      <c r="Q441" s="334" t="e">
        <f t="shared" si="127"/>
        <v>#N/A</v>
      </c>
      <c r="R441" s="359">
        <f t="shared" si="125"/>
        <v>0</v>
      </c>
      <c r="S441" s="380">
        <f t="shared" si="126"/>
        <v>0</v>
      </c>
      <c r="T441" s="333" t="str" cm="1">
        <f t="array" ref="T441">IF($C441&lt;&gt;"bitte wählen",INDEX(ListeLebensmittelIFEU,T$189+1,$P441),"")</f>
        <v/>
      </c>
      <c r="U441" s="334" t="str" cm="1">
        <f t="array" ref="U441">IF($C441&lt;&gt;"bitte wählen",INDEX(ListeLebensmittelIFEU,U$189+1,$P441),"")</f>
        <v/>
      </c>
      <c r="V441" s="334" t="str" cm="1">
        <f t="array" ref="V441">IF($C441&lt;&gt;"bitte wählen",INDEX(ListeLebensmittelIFEU,V$189+1,$P441),"")</f>
        <v/>
      </c>
      <c r="W441" s="334" t="str" cm="1">
        <f t="array" ref="W441">IF($C441&lt;&gt;"bitte wählen",INDEX(ListeLebensmittelIFEU,W$189+1,$P441),"")</f>
        <v/>
      </c>
      <c r="X441" s="334" t="str" cm="1">
        <f t="array" ref="X441">IF($C441&lt;&gt;"bitte wählen",INDEX(ListeLebensmittelIFEU,X$189+1,$P441),"")</f>
        <v/>
      </c>
      <c r="Y441" s="334" t="str" cm="1">
        <f t="array" ref="Y441">IF($C441&lt;&gt;"bitte wählen",INDEX(ListeLebensmittelIFEU,Y$189+1,$P441),"")</f>
        <v/>
      </c>
      <c r="Z441" s="334" t="str" cm="1">
        <f t="array" ref="Z441">IF($C441&lt;&gt;"bitte wählen",INDEX(ListeLebensmittelIFEU,Z$189+1,$P441),"")</f>
        <v/>
      </c>
      <c r="AA441" s="334" t="str" cm="1">
        <f t="array" ref="AA441">IF($C441&lt;&gt;"bitte wählen",INDEX(ListeLebensmittelIFEU,AA$189+1,$P441),"")</f>
        <v/>
      </c>
      <c r="AB441" s="334" t="str" cm="1">
        <f t="array" ref="AB441">IF($C441&lt;&gt;"bitte wählen",INDEX(ListeLebensmittelIFEU,AB$189+1,$P441),"")</f>
        <v/>
      </c>
      <c r="AC441" s="334" t="str" cm="1">
        <f t="array" ref="AC441">IF($C441&lt;&gt;"bitte wählen",INDEX(ListeLebensmittelIFEU,AC$189+1,$P441),"")</f>
        <v/>
      </c>
      <c r="AD441" s="334" t="str" cm="1">
        <f t="array" ref="AD441">IF($C441&lt;&gt;"bitte wählen",INDEX(ListeLebensmittelIFEU,AD$189+1,$P441),"")</f>
        <v/>
      </c>
      <c r="AE441" s="334" t="str" cm="1">
        <f t="array" ref="AE441">IF($C441&lt;&gt;"bitte wählen",INDEX(ListeLebensmittelIFEU,AE$189+1,$P441),"")</f>
        <v/>
      </c>
      <c r="AF441" s="334" t="str" cm="1">
        <f t="array" ref="AF441">IF($C441&lt;&gt;"bitte wählen",INDEX(ListeLebensmittelIFEU,AF$189+1,$P441),"")</f>
        <v/>
      </c>
      <c r="AG441" s="334" t="str" cm="1">
        <f t="array" ref="AG441">IF($C441&lt;&gt;"bitte wählen",INDEX(ListeLebensmittelIFEU,AG$189+1,$P441),"")</f>
        <v/>
      </c>
      <c r="AH441" s="334" t="str" cm="1">
        <f t="array" ref="AH441">IF($C441&lt;&gt;"bitte wählen",INDEX(ListeLebensmittelIFEU,AH$189+1,$P441),"")</f>
        <v/>
      </c>
      <c r="AI441" s="334" t="str" cm="1">
        <f t="array" ref="AI441">IF($C441&lt;&gt;"bitte wählen",INDEX(ListeLebensmittelIFEU,AI$189+1,$P441),"")</f>
        <v/>
      </c>
      <c r="AJ441" s="334" t="str" cm="1">
        <f t="array" ref="AJ441">IF($C441&lt;&gt;"bitte wählen",INDEX(ListeLebensmittelIFEU,AJ$189+1,$P441),"")</f>
        <v/>
      </c>
      <c r="AK441" s="334" t="str" cm="1">
        <f t="array" ref="AK441">IF($C441&lt;&gt;"bitte wählen",INDEX(ListeLebensmittelIFEU,AK$189+1,$P441),"")</f>
        <v/>
      </c>
      <c r="AL441" s="334" t="str" cm="1">
        <f t="array" ref="AL441">IF($C441&lt;&gt;"bitte wählen",INDEX(ListeLebensmittelIFEU,AL$189+1,$P441),"")</f>
        <v/>
      </c>
      <c r="AM441" s="334" t="str" cm="1">
        <f t="array" ref="AM441">IF($C441&lt;&gt;"bitte wählen",INDEX(ListeLebensmittelIFEU,AM$189+1,$P441),"")</f>
        <v/>
      </c>
      <c r="AN441" s="334" t="str" cm="1">
        <f t="array" ref="AN441">IF($C441&lt;&gt;"bitte wählen",INDEX(ListeLebensmittelIFEU,AN$189+1,$P441),"")</f>
        <v/>
      </c>
      <c r="AO441" s="334" t="str" cm="1">
        <f t="array" ref="AO441">IF($C441&lt;&gt;"bitte wählen",INDEX(ListeLebensmittelIFEU,AO$189+1,$P441),"")</f>
        <v/>
      </c>
      <c r="AP441" s="334" t="str" cm="1">
        <f t="array" ref="AP441">IF($C441&lt;&gt;"bitte wählen",INDEX(ListeLebensmittelIFEU,AP$189+1,$P441),"")</f>
        <v/>
      </c>
      <c r="AQ441" s="334" t="str" cm="1">
        <f t="array" ref="AQ441">IF($C441&lt;&gt;"bitte wählen",INDEX(ListeLebensmittelIFEU,AQ$189+1,$P441),"")</f>
        <v/>
      </c>
      <c r="AR441" s="334" t="str" cm="1">
        <f t="array" ref="AR441">IF($C441&lt;&gt;"bitte wählen",INDEX(ListeLebensmittelIFEU,AR$189+1,$P441),"")</f>
        <v/>
      </c>
      <c r="AS441" s="334" t="str" cm="1">
        <f t="array" ref="AS441">IF($C441&lt;&gt;"bitte wählen",INDEX(ListeLebensmittelIFEU,AS$189+1,$P441),"")</f>
        <v/>
      </c>
      <c r="AT441" s="334" t="str" cm="1">
        <f t="array" ref="AT441">IF($C441&lt;&gt;"bitte wählen",INDEX(ListeLebensmittelIFEU,AT$189+1,$P441),"")</f>
        <v/>
      </c>
      <c r="AU441" s="334" t="str" cm="1">
        <f t="array" ref="AU441">IF($C441&lt;&gt;"bitte wählen",INDEX(ListeLebensmittelIFEU,AU$189+1,$P441),"")</f>
        <v/>
      </c>
      <c r="AV441" s="334" t="str" cm="1">
        <f t="array" ref="AV441">IF($C441&lt;&gt;"bitte wählen",INDEX(ListeLebensmittelIFEU,AV$189+1,$P441),"")</f>
        <v/>
      </c>
      <c r="AW441" s="334" t="str" cm="1">
        <f t="array" ref="AW441">IF($C441&lt;&gt;"bitte wählen",INDEX(ListeLebensmittelIFEU,AW$189+1,$P441),"")</f>
        <v/>
      </c>
      <c r="AX441" s="334" t="str" cm="1">
        <f t="array" ref="AX441">IF($C441&lt;&gt;"bitte wählen",INDEX(ListeLebensmittelIFEU,AX$189+1,$P441),"")</f>
        <v/>
      </c>
      <c r="AY441" s="334" t="str" cm="1">
        <f t="array" ref="AY441">IF($C441&lt;&gt;"bitte wählen",INDEX(ListeLebensmittelIFEU,AY$189+1,$P441),"")</f>
        <v/>
      </c>
      <c r="AZ441" s="335" t="str" cm="1">
        <f t="array" ref="AZ441">IF($C441&lt;&gt;"bitte wählen",INDEX(ListeLebensmittelIFEU,AZ$189+1,$P441),"")</f>
        <v/>
      </c>
    </row>
    <row r="442" spans="1:52" x14ac:dyDescent="0.3">
      <c r="B442" t="s">
        <v>398</v>
      </c>
      <c r="C442" s="471" t="s">
        <v>27</v>
      </c>
      <c r="D442" s="472"/>
      <c r="E442" s="349"/>
      <c r="F442" s="473" t="s">
        <v>12</v>
      </c>
      <c r="G442" s="350" t="str">
        <f t="shared" si="122"/>
        <v/>
      </c>
      <c r="H442" s="293" t="str">
        <f t="shared" si="123"/>
        <v/>
      </c>
      <c r="P442" s="336">
        <f t="shared" si="124"/>
        <v>22</v>
      </c>
      <c r="Q442" s="337" t="e">
        <f t="shared" si="127"/>
        <v>#N/A</v>
      </c>
      <c r="R442" s="360">
        <f t="shared" si="125"/>
        <v>0</v>
      </c>
      <c r="S442" s="381">
        <f t="shared" si="126"/>
        <v>0</v>
      </c>
      <c r="T442" s="336" t="str" cm="1">
        <f t="array" ref="T442">IF($C442&lt;&gt;"bitte wählen",INDEX(ListeLebensmittelIFEU,T$189+1,$P442),"")</f>
        <v/>
      </c>
      <c r="U442" s="337" t="str" cm="1">
        <f t="array" ref="U442">IF($C442&lt;&gt;"bitte wählen",INDEX(ListeLebensmittelIFEU,U$189+1,$P442),"")</f>
        <v/>
      </c>
      <c r="V442" s="337" t="str" cm="1">
        <f t="array" ref="V442">IF($C442&lt;&gt;"bitte wählen",INDEX(ListeLebensmittelIFEU,V$189+1,$P442),"")</f>
        <v/>
      </c>
      <c r="W442" s="337" t="str" cm="1">
        <f t="array" ref="W442">IF($C442&lt;&gt;"bitte wählen",INDEX(ListeLebensmittelIFEU,W$189+1,$P442),"")</f>
        <v/>
      </c>
      <c r="X442" s="337" t="str" cm="1">
        <f t="array" ref="X442">IF($C442&lt;&gt;"bitte wählen",INDEX(ListeLebensmittelIFEU,X$189+1,$P442),"")</f>
        <v/>
      </c>
      <c r="Y442" s="337" t="str" cm="1">
        <f t="array" ref="Y442">IF($C442&lt;&gt;"bitte wählen",INDEX(ListeLebensmittelIFEU,Y$189+1,$P442),"")</f>
        <v/>
      </c>
      <c r="Z442" s="337" t="str" cm="1">
        <f t="array" ref="Z442">IF($C442&lt;&gt;"bitte wählen",INDEX(ListeLebensmittelIFEU,Z$189+1,$P442),"")</f>
        <v/>
      </c>
      <c r="AA442" s="337" t="str" cm="1">
        <f t="array" ref="AA442">IF($C442&lt;&gt;"bitte wählen",INDEX(ListeLebensmittelIFEU,AA$189+1,$P442),"")</f>
        <v/>
      </c>
      <c r="AB442" s="337" t="str" cm="1">
        <f t="array" ref="AB442">IF($C442&lt;&gt;"bitte wählen",INDEX(ListeLebensmittelIFEU,AB$189+1,$P442),"")</f>
        <v/>
      </c>
      <c r="AC442" s="337" t="str" cm="1">
        <f t="array" ref="AC442">IF($C442&lt;&gt;"bitte wählen",INDEX(ListeLebensmittelIFEU,AC$189+1,$P442),"")</f>
        <v/>
      </c>
      <c r="AD442" s="337" t="str" cm="1">
        <f t="array" ref="AD442">IF($C442&lt;&gt;"bitte wählen",INDEX(ListeLebensmittelIFEU,AD$189+1,$P442),"")</f>
        <v/>
      </c>
      <c r="AE442" s="337" t="str" cm="1">
        <f t="array" ref="AE442">IF($C442&lt;&gt;"bitte wählen",INDEX(ListeLebensmittelIFEU,AE$189+1,$P442),"")</f>
        <v/>
      </c>
      <c r="AF442" s="337" t="str" cm="1">
        <f t="array" ref="AF442">IF($C442&lt;&gt;"bitte wählen",INDEX(ListeLebensmittelIFEU,AF$189+1,$P442),"")</f>
        <v/>
      </c>
      <c r="AG442" s="337" t="str" cm="1">
        <f t="array" ref="AG442">IF($C442&lt;&gt;"bitte wählen",INDEX(ListeLebensmittelIFEU,AG$189+1,$P442),"")</f>
        <v/>
      </c>
      <c r="AH442" s="337" t="str" cm="1">
        <f t="array" ref="AH442">IF($C442&lt;&gt;"bitte wählen",INDEX(ListeLebensmittelIFEU,AH$189+1,$P442),"")</f>
        <v/>
      </c>
      <c r="AI442" s="337" t="str" cm="1">
        <f t="array" ref="AI442">IF($C442&lt;&gt;"bitte wählen",INDEX(ListeLebensmittelIFEU,AI$189+1,$P442),"")</f>
        <v/>
      </c>
      <c r="AJ442" s="337" t="str" cm="1">
        <f t="array" ref="AJ442">IF($C442&lt;&gt;"bitte wählen",INDEX(ListeLebensmittelIFEU,AJ$189+1,$P442),"")</f>
        <v/>
      </c>
      <c r="AK442" s="337" t="str" cm="1">
        <f t="array" ref="AK442">IF($C442&lt;&gt;"bitte wählen",INDEX(ListeLebensmittelIFEU,AK$189+1,$P442),"")</f>
        <v/>
      </c>
      <c r="AL442" s="337" t="str" cm="1">
        <f t="array" ref="AL442">IF($C442&lt;&gt;"bitte wählen",INDEX(ListeLebensmittelIFEU,AL$189+1,$P442),"")</f>
        <v/>
      </c>
      <c r="AM442" s="337" t="str" cm="1">
        <f t="array" ref="AM442">IF($C442&lt;&gt;"bitte wählen",INDEX(ListeLebensmittelIFEU,AM$189+1,$P442),"")</f>
        <v/>
      </c>
      <c r="AN442" s="337" t="str" cm="1">
        <f t="array" ref="AN442">IF($C442&lt;&gt;"bitte wählen",INDEX(ListeLebensmittelIFEU,AN$189+1,$P442),"")</f>
        <v/>
      </c>
      <c r="AO442" s="337" t="str" cm="1">
        <f t="array" ref="AO442">IF($C442&lt;&gt;"bitte wählen",INDEX(ListeLebensmittelIFEU,AO$189+1,$P442),"")</f>
        <v/>
      </c>
      <c r="AP442" s="337" t="str" cm="1">
        <f t="array" ref="AP442">IF($C442&lt;&gt;"bitte wählen",INDEX(ListeLebensmittelIFEU,AP$189+1,$P442),"")</f>
        <v/>
      </c>
      <c r="AQ442" s="337" t="str" cm="1">
        <f t="array" ref="AQ442">IF($C442&lt;&gt;"bitte wählen",INDEX(ListeLebensmittelIFEU,AQ$189+1,$P442),"")</f>
        <v/>
      </c>
      <c r="AR442" s="337" t="str" cm="1">
        <f t="array" ref="AR442">IF($C442&lt;&gt;"bitte wählen",INDEX(ListeLebensmittelIFEU,AR$189+1,$P442),"")</f>
        <v/>
      </c>
      <c r="AS442" s="337" t="str" cm="1">
        <f t="array" ref="AS442">IF($C442&lt;&gt;"bitte wählen",INDEX(ListeLebensmittelIFEU,AS$189+1,$P442),"")</f>
        <v/>
      </c>
      <c r="AT442" s="337" t="str" cm="1">
        <f t="array" ref="AT442">IF($C442&lt;&gt;"bitte wählen",INDEX(ListeLebensmittelIFEU,AT$189+1,$P442),"")</f>
        <v/>
      </c>
      <c r="AU442" s="337" t="str" cm="1">
        <f t="array" ref="AU442">IF($C442&lt;&gt;"bitte wählen",INDEX(ListeLebensmittelIFEU,AU$189+1,$P442),"")</f>
        <v/>
      </c>
      <c r="AV442" s="337" t="str" cm="1">
        <f t="array" ref="AV442">IF($C442&lt;&gt;"bitte wählen",INDEX(ListeLebensmittelIFEU,AV$189+1,$P442),"")</f>
        <v/>
      </c>
      <c r="AW442" s="337" t="str" cm="1">
        <f t="array" ref="AW442">IF($C442&lt;&gt;"bitte wählen",INDEX(ListeLebensmittelIFEU,AW$189+1,$P442),"")</f>
        <v/>
      </c>
      <c r="AX442" s="337" t="str" cm="1">
        <f t="array" ref="AX442">IF($C442&lt;&gt;"bitte wählen",INDEX(ListeLebensmittelIFEU,AX$189+1,$P442),"")</f>
        <v/>
      </c>
      <c r="AY442" s="337" t="str" cm="1">
        <f t="array" ref="AY442">IF($C442&lt;&gt;"bitte wählen",INDEX(ListeLebensmittelIFEU,AY$189+1,$P442),"")</f>
        <v/>
      </c>
      <c r="AZ442" s="338" t="str" cm="1">
        <f t="array" ref="AZ442">IF($C442&lt;&gt;"bitte wählen",INDEX(ListeLebensmittelIFEU,AZ$189+1,$P442),"")</f>
        <v/>
      </c>
    </row>
    <row r="443" spans="1:52" x14ac:dyDescent="0.3">
      <c r="B443" s="105" t="str">
        <f>IF(R443,IF(E443/IF(D435="",1,D435)&lt;GewichtMittagessenMin,"Hinweis: Dies scheint eine relativ kleine Portion zu sein",IF(E443/IF(D435="",1,D435)&gt;GewichtMittagessenMax,"Hinweis: Dies scheint eine relativ große Portion zu sein","")),"")</f>
        <v/>
      </c>
      <c r="C443" s="78"/>
      <c r="D443" s="78"/>
      <c r="E443" s="355">
        <f>SUM(E437:E442)-SUMIF(C437:C442,"Getränke",E437:E442)</f>
        <v>0</v>
      </c>
      <c r="G443" s="15" t="s">
        <v>622</v>
      </c>
      <c r="H443" s="293">
        <f>SUM(H437:H442)</f>
        <v>0</v>
      </c>
      <c r="Q443" s="383" t="s">
        <v>1030</v>
      </c>
      <c r="R443" s="386" t="b">
        <f>IF(SUM(R437:R442)&gt;0,TRUE,FALSE)</f>
        <v>0</v>
      </c>
      <c r="S443" s="383">
        <f>SUM(S437:S442)</f>
        <v>0</v>
      </c>
      <c r="T443" s="383" t="s">
        <v>1029</v>
      </c>
      <c r="U443" s="383" t="str">
        <f>IF(R443,IF(S443&gt;9,10,IF(S443&gt;0,1,0)),"")</f>
        <v/>
      </c>
    </row>
    <row r="444" spans="1:52" x14ac:dyDescent="0.3">
      <c r="B444" s="385" t="str">
        <f>IF(U443=0,"🌱 vegan","")</f>
        <v/>
      </c>
      <c r="C444" s="105" t="str">
        <f>IF(U443=1,"Ⓥ vegetarisch","")</f>
        <v/>
      </c>
      <c r="D444" s="384" t="str">
        <f>IF(U443=10,"🥩 mit Fleisch/Fisch","")</f>
        <v/>
      </c>
      <c r="E444" s="78"/>
      <c r="G444" s="15" t="s">
        <v>623</v>
      </c>
      <c r="H444" s="294">
        <f>IF(D435="",H443,H443/D435)</f>
        <v>0</v>
      </c>
    </row>
    <row r="445" spans="1:52" x14ac:dyDescent="0.3">
      <c r="T445" s="84"/>
    </row>
    <row r="446" spans="1:52" x14ac:dyDescent="0.3">
      <c r="T446" s="84"/>
    </row>
    <row r="447" spans="1:52" x14ac:dyDescent="0.3"/>
    <row r="448" spans="1:52" ht="18" thickBot="1" x14ac:dyDescent="0.4">
      <c r="B448" s="496" t="s">
        <v>1496</v>
      </c>
      <c r="C448" s="496"/>
      <c r="D448" s="496"/>
      <c r="E448" s="496"/>
    </row>
    <row r="449" spans="2:9" ht="15" thickTop="1" x14ac:dyDescent="0.3"/>
    <row r="450" spans="2:9" x14ac:dyDescent="0.3">
      <c r="B450" s="639" t="s">
        <v>582</v>
      </c>
      <c r="C450" s="650"/>
      <c r="D450" s="650"/>
      <c r="E450" s="650"/>
      <c r="F450" s="650"/>
      <c r="G450" s="650"/>
      <c r="H450" s="650"/>
      <c r="I450" s="651"/>
    </row>
    <row r="451" spans="2:9" x14ac:dyDescent="0.3">
      <c r="B451" s="648"/>
      <c r="C451" s="600"/>
      <c r="D451" s="600"/>
      <c r="E451" s="600"/>
      <c r="F451" s="600"/>
      <c r="G451" s="600"/>
      <c r="H451" s="600"/>
      <c r="I451" s="649"/>
    </row>
    <row r="452" spans="2:9" x14ac:dyDescent="0.3">
      <c r="B452" s="658"/>
      <c r="C452" s="659"/>
      <c r="D452" s="659"/>
      <c r="E452" s="659"/>
      <c r="F452" s="659"/>
      <c r="G452" s="659"/>
      <c r="H452" s="659"/>
      <c r="I452" s="660"/>
    </row>
    <row r="453" spans="2:9" x14ac:dyDescent="0.3"/>
    <row r="454" spans="2:9" x14ac:dyDescent="0.3"/>
    <row r="455" spans="2:9" x14ac:dyDescent="0.3">
      <c r="C455" s="8" t="s">
        <v>991</v>
      </c>
    </row>
    <row r="456" spans="2:9" x14ac:dyDescent="0.3">
      <c r="C456" s="184" t="s">
        <v>917</v>
      </c>
      <c r="D456" s="184" t="s">
        <v>643</v>
      </c>
    </row>
    <row r="457" spans="2:9" x14ac:dyDescent="0.3">
      <c r="B457" s="8" t="s">
        <v>941</v>
      </c>
      <c r="C457" s="31" t="s">
        <v>27</v>
      </c>
      <c r="D457" s="31">
        <v>22</v>
      </c>
    </row>
    <row r="458" spans="2:9" x14ac:dyDescent="0.3">
      <c r="B458" t="s">
        <v>942</v>
      </c>
      <c r="C458" s="31" t="s">
        <v>913</v>
      </c>
      <c r="D458" s="31">
        <v>1</v>
      </c>
    </row>
    <row r="459" spans="2:9" x14ac:dyDescent="0.3">
      <c r="B459" s="351" t="s">
        <v>943</v>
      </c>
      <c r="C459" s="31" t="s">
        <v>914</v>
      </c>
      <c r="D459" s="31">
        <v>4</v>
      </c>
    </row>
    <row r="460" spans="2:9" x14ac:dyDescent="0.3">
      <c r="C460" s="31" t="s">
        <v>915</v>
      </c>
      <c r="D460" s="31">
        <v>7</v>
      </c>
    </row>
    <row r="461" spans="2:9" x14ac:dyDescent="0.3">
      <c r="C461" s="31" t="s">
        <v>989</v>
      </c>
      <c r="D461" s="31">
        <v>10</v>
      </c>
    </row>
    <row r="462" spans="2:9" x14ac:dyDescent="0.3">
      <c r="C462" s="31" t="s">
        <v>990</v>
      </c>
      <c r="D462" s="31">
        <v>13</v>
      </c>
    </row>
    <row r="463" spans="2:9" x14ac:dyDescent="0.3">
      <c r="C463" s="31" t="s">
        <v>911</v>
      </c>
      <c r="D463" s="31">
        <v>16</v>
      </c>
    </row>
    <row r="464" spans="2:9" x14ac:dyDescent="0.3">
      <c r="C464" s="31" t="s">
        <v>912</v>
      </c>
      <c r="D464" s="31">
        <v>19</v>
      </c>
    </row>
    <row r="465" spans="1:25" x14ac:dyDescent="0.3"/>
    <row r="466" spans="1:25" x14ac:dyDescent="0.3"/>
    <row r="467" spans="1:25" ht="15" thickBot="1" x14ac:dyDescent="0.35"/>
    <row r="468" spans="1:25" x14ac:dyDescent="0.3">
      <c r="A468" s="416" t="s">
        <v>913</v>
      </c>
      <c r="B468" s="417"/>
      <c r="C468" s="418"/>
      <c r="D468" s="416" t="s">
        <v>914</v>
      </c>
      <c r="E468" s="417"/>
      <c r="F468" s="418"/>
      <c r="G468" s="416" t="s">
        <v>915</v>
      </c>
      <c r="H468" s="417"/>
      <c r="I468" s="418"/>
      <c r="J468" s="416" t="s">
        <v>821</v>
      </c>
      <c r="K468" s="417"/>
      <c r="L468" s="418"/>
      <c r="M468" s="416" t="s">
        <v>852</v>
      </c>
      <c r="N468" s="417"/>
      <c r="O468" s="418"/>
      <c r="P468" s="416" t="s">
        <v>911</v>
      </c>
      <c r="Q468" s="417"/>
      <c r="R468" s="418"/>
      <c r="S468" s="416" t="s">
        <v>912</v>
      </c>
      <c r="T468" s="417"/>
      <c r="U468" s="418"/>
      <c r="V468" s="428" t="s">
        <v>1149</v>
      </c>
      <c r="W468" s="429"/>
      <c r="X468" s="430"/>
    </row>
    <row r="469" spans="1:25" x14ac:dyDescent="0.3">
      <c r="A469" s="419" t="s">
        <v>318</v>
      </c>
      <c r="B469" s="326" t="s">
        <v>735</v>
      </c>
      <c r="C469" s="420" t="s">
        <v>953</v>
      </c>
      <c r="D469" s="419" t="s">
        <v>318</v>
      </c>
      <c r="E469" s="326" t="s">
        <v>735</v>
      </c>
      <c r="F469" s="420" t="s">
        <v>953</v>
      </c>
      <c r="G469" s="419" t="s">
        <v>318</v>
      </c>
      <c r="H469" s="326" t="s">
        <v>735</v>
      </c>
      <c r="I469" s="420" t="s">
        <v>953</v>
      </c>
      <c r="J469" s="419" t="s">
        <v>318</v>
      </c>
      <c r="K469" s="326" t="s">
        <v>735</v>
      </c>
      <c r="L469" s="420" t="s">
        <v>953</v>
      </c>
      <c r="M469" s="419" t="s">
        <v>318</v>
      </c>
      <c r="N469" s="326" t="s">
        <v>735</v>
      </c>
      <c r="O469" s="420" t="s">
        <v>953</v>
      </c>
      <c r="P469" s="419" t="s">
        <v>318</v>
      </c>
      <c r="Q469" s="326" t="s">
        <v>735</v>
      </c>
      <c r="R469" s="420" t="s">
        <v>953</v>
      </c>
      <c r="S469" s="419" t="s">
        <v>318</v>
      </c>
      <c r="T469" s="326" t="s">
        <v>735</v>
      </c>
      <c r="U469" s="420" t="s">
        <v>953</v>
      </c>
      <c r="V469" s="419"/>
      <c r="W469" s="326"/>
      <c r="X469" s="420"/>
    </row>
    <row r="470" spans="1:25" x14ac:dyDescent="0.3">
      <c r="A470" s="175" t="s">
        <v>736</v>
      </c>
      <c r="B470" s="327">
        <v>0.9</v>
      </c>
      <c r="C470" s="421">
        <v>0</v>
      </c>
      <c r="D470" s="175" t="s">
        <v>768</v>
      </c>
      <c r="E470" s="327">
        <v>0.3</v>
      </c>
      <c r="F470" s="421">
        <v>0</v>
      </c>
      <c r="G470" s="175" t="s">
        <v>797</v>
      </c>
      <c r="H470" s="327">
        <v>0.4</v>
      </c>
      <c r="I470" s="421">
        <v>0</v>
      </c>
      <c r="J470" s="175" t="s">
        <v>321</v>
      </c>
      <c r="K470" s="327">
        <v>9</v>
      </c>
      <c r="L470" s="421">
        <v>1</v>
      </c>
      <c r="M470" s="427" t="s">
        <v>853</v>
      </c>
      <c r="N470" s="327">
        <v>1.1000000000000001</v>
      </c>
      <c r="O470" s="421">
        <v>0</v>
      </c>
      <c r="P470" s="175" t="s">
        <v>877</v>
      </c>
      <c r="Q470" s="327">
        <v>0.6</v>
      </c>
      <c r="R470" s="421">
        <v>1</v>
      </c>
      <c r="S470" s="175" t="s">
        <v>903</v>
      </c>
      <c r="T470" s="327">
        <v>5.6</v>
      </c>
      <c r="U470" s="421">
        <v>0</v>
      </c>
      <c r="V470" s="431" t="s">
        <v>1170</v>
      </c>
      <c r="W470" s="327"/>
      <c r="X470" s="421"/>
      <c r="Y470">
        <v>1</v>
      </c>
    </row>
    <row r="471" spans="1:25" x14ac:dyDescent="0.3">
      <c r="A471" s="175" t="s">
        <v>737</v>
      </c>
      <c r="B471" s="327">
        <v>0.6</v>
      </c>
      <c r="C471" s="421">
        <v>0</v>
      </c>
      <c r="D471" s="175" t="s">
        <v>769</v>
      </c>
      <c r="E471" s="327">
        <v>0.2</v>
      </c>
      <c r="F471" s="421">
        <v>0</v>
      </c>
      <c r="G471" s="175" t="s">
        <v>798</v>
      </c>
      <c r="H471" s="327">
        <v>0.4</v>
      </c>
      <c r="I471" s="421">
        <v>0</v>
      </c>
      <c r="J471" s="175" t="s">
        <v>822</v>
      </c>
      <c r="K471" s="327">
        <v>11.5</v>
      </c>
      <c r="L471" s="421">
        <v>1</v>
      </c>
      <c r="M471" s="175" t="s">
        <v>854</v>
      </c>
      <c r="N471" s="327">
        <v>1.8</v>
      </c>
      <c r="O471" s="421">
        <v>0</v>
      </c>
      <c r="P471" s="175" t="s">
        <v>878</v>
      </c>
      <c r="Q471" s="327">
        <v>0.6</v>
      </c>
      <c r="R471" s="421">
        <v>1</v>
      </c>
      <c r="S471" s="175" t="s">
        <v>904</v>
      </c>
      <c r="T471" s="327">
        <v>5</v>
      </c>
      <c r="U471" s="421">
        <v>0</v>
      </c>
      <c r="V471" s="431"/>
      <c r="W471" s="327"/>
      <c r="X471" s="421"/>
      <c r="Y471">
        <v>2</v>
      </c>
    </row>
    <row r="472" spans="1:25" x14ac:dyDescent="0.3">
      <c r="A472" s="175" t="s">
        <v>738</v>
      </c>
      <c r="B472" s="327">
        <v>15.1</v>
      </c>
      <c r="C472" s="421">
        <v>0</v>
      </c>
      <c r="D472" s="175" t="s">
        <v>1203</v>
      </c>
      <c r="E472" s="327">
        <v>0.3</v>
      </c>
      <c r="F472" s="421">
        <v>0</v>
      </c>
      <c r="G472" s="175" t="s">
        <v>799</v>
      </c>
      <c r="H472" s="327">
        <v>0.4</v>
      </c>
      <c r="I472" s="421">
        <v>0</v>
      </c>
      <c r="J472" s="175" t="s">
        <v>823</v>
      </c>
      <c r="K472" s="327">
        <v>3</v>
      </c>
      <c r="L472" s="421">
        <v>1</v>
      </c>
      <c r="M472" s="175" t="s">
        <v>855</v>
      </c>
      <c r="N472" s="327">
        <v>2.4</v>
      </c>
      <c r="O472" s="421">
        <v>10</v>
      </c>
      <c r="P472" s="175" t="s">
        <v>319</v>
      </c>
      <c r="Q472" s="327">
        <v>0.7</v>
      </c>
      <c r="R472" s="421">
        <v>1</v>
      </c>
      <c r="S472" s="175" t="s">
        <v>905</v>
      </c>
      <c r="T472" s="327">
        <v>0.4</v>
      </c>
      <c r="U472" s="421">
        <v>0</v>
      </c>
      <c r="V472" s="431"/>
      <c r="W472" s="327"/>
      <c r="X472" s="421"/>
      <c r="Y472">
        <v>3</v>
      </c>
    </row>
    <row r="473" spans="1:25" x14ac:dyDescent="0.3">
      <c r="A473" s="175" t="s">
        <v>739</v>
      </c>
      <c r="B473" s="327">
        <v>1.8</v>
      </c>
      <c r="C473" s="421">
        <v>0</v>
      </c>
      <c r="D473" s="175" t="s">
        <v>1204</v>
      </c>
      <c r="E473" s="327">
        <v>0.6</v>
      </c>
      <c r="F473" s="421">
        <v>0</v>
      </c>
      <c r="G473" s="175" t="s">
        <v>800</v>
      </c>
      <c r="H473" s="327">
        <v>0.4</v>
      </c>
      <c r="I473" s="421">
        <v>0</v>
      </c>
      <c r="J473" s="175" t="s">
        <v>824</v>
      </c>
      <c r="K473" s="327">
        <v>1.7</v>
      </c>
      <c r="L473" s="421">
        <v>1</v>
      </c>
      <c r="M473" s="175" t="s">
        <v>856</v>
      </c>
      <c r="N473" s="327">
        <v>10</v>
      </c>
      <c r="O473" s="421">
        <v>10</v>
      </c>
      <c r="P473" s="175" t="s">
        <v>879</v>
      </c>
      <c r="Q473" s="327">
        <v>0.6</v>
      </c>
      <c r="R473" s="421">
        <v>0</v>
      </c>
      <c r="S473" s="175" t="s">
        <v>906</v>
      </c>
      <c r="T473" s="327">
        <v>0.2</v>
      </c>
      <c r="U473" s="421">
        <v>0</v>
      </c>
      <c r="V473" s="431"/>
      <c r="W473" s="327"/>
      <c r="X473" s="421"/>
      <c r="Y473">
        <v>4</v>
      </c>
    </row>
    <row r="474" spans="1:25" x14ac:dyDescent="0.3">
      <c r="A474" s="175" t="s">
        <v>740</v>
      </c>
      <c r="B474" s="327">
        <v>0.3</v>
      </c>
      <c r="C474" s="421">
        <v>0</v>
      </c>
      <c r="D474" s="175" t="s">
        <v>1205</v>
      </c>
      <c r="E474" s="327">
        <v>1.2</v>
      </c>
      <c r="F474" s="421">
        <v>0</v>
      </c>
      <c r="G474" s="175" t="s">
        <v>801</v>
      </c>
      <c r="H474" s="327">
        <v>0.4</v>
      </c>
      <c r="I474" s="421">
        <v>0</v>
      </c>
      <c r="J474" s="175" t="s">
        <v>825</v>
      </c>
      <c r="K474" s="327">
        <v>1.7</v>
      </c>
      <c r="L474" s="421">
        <v>1</v>
      </c>
      <c r="M474" s="175" t="s">
        <v>857</v>
      </c>
      <c r="N474" s="327">
        <v>5.0999999999999996</v>
      </c>
      <c r="O474" s="421">
        <v>10</v>
      </c>
      <c r="P474" s="175" t="s">
        <v>880</v>
      </c>
      <c r="Q474" s="327">
        <v>0.7</v>
      </c>
      <c r="R474" s="421">
        <v>0</v>
      </c>
      <c r="S474" s="175" t="s">
        <v>907</v>
      </c>
      <c r="T474" s="327">
        <v>0.7</v>
      </c>
      <c r="U474" s="421">
        <v>0</v>
      </c>
      <c r="V474" s="431"/>
      <c r="W474" s="327"/>
      <c r="X474" s="421"/>
      <c r="Y474">
        <v>5</v>
      </c>
    </row>
    <row r="475" spans="1:25" x14ac:dyDescent="0.3">
      <c r="A475" s="175" t="s">
        <v>741</v>
      </c>
      <c r="B475" s="327">
        <v>0.3</v>
      </c>
      <c r="C475" s="421">
        <v>0</v>
      </c>
      <c r="D475" s="175" t="s">
        <v>770</v>
      </c>
      <c r="E475" s="327">
        <v>0.3</v>
      </c>
      <c r="F475" s="421">
        <v>0</v>
      </c>
      <c r="G475" s="175" t="s">
        <v>802</v>
      </c>
      <c r="H475" s="327">
        <v>0.2</v>
      </c>
      <c r="I475" s="421">
        <v>0</v>
      </c>
      <c r="J475" s="175" t="s">
        <v>826</v>
      </c>
      <c r="K475" s="327">
        <v>1.9</v>
      </c>
      <c r="L475" s="421">
        <v>1</v>
      </c>
      <c r="M475" s="175" t="s">
        <v>858</v>
      </c>
      <c r="N475" s="327">
        <v>12.5</v>
      </c>
      <c r="O475" s="421">
        <v>10</v>
      </c>
      <c r="P475" s="175" t="s">
        <v>881</v>
      </c>
      <c r="Q475" s="327">
        <v>0.8</v>
      </c>
      <c r="R475" s="421">
        <v>0</v>
      </c>
      <c r="S475" s="175" t="s">
        <v>908</v>
      </c>
      <c r="T475" s="327">
        <v>0.4</v>
      </c>
      <c r="U475" s="421">
        <v>0</v>
      </c>
      <c r="V475" s="431"/>
      <c r="W475" s="327"/>
      <c r="X475" s="421"/>
      <c r="Y475">
        <v>6</v>
      </c>
    </row>
    <row r="476" spans="1:25" x14ac:dyDescent="0.3">
      <c r="A476" s="175" t="s">
        <v>742</v>
      </c>
      <c r="B476" s="327">
        <v>0.4</v>
      </c>
      <c r="C476" s="421">
        <v>0</v>
      </c>
      <c r="D476" s="175" t="s">
        <v>771</v>
      </c>
      <c r="E476" s="327">
        <v>0.9</v>
      </c>
      <c r="F476" s="421">
        <v>0</v>
      </c>
      <c r="G476" s="175" t="s">
        <v>803</v>
      </c>
      <c r="H476" s="327">
        <v>0.7</v>
      </c>
      <c r="I476" s="421">
        <v>0</v>
      </c>
      <c r="J476" s="175" t="s">
        <v>827</v>
      </c>
      <c r="K476" s="327">
        <v>0.6</v>
      </c>
      <c r="L476" s="421">
        <v>0</v>
      </c>
      <c r="M476" s="175" t="s">
        <v>859</v>
      </c>
      <c r="N476" s="327">
        <v>4</v>
      </c>
      <c r="O476" s="421">
        <v>10</v>
      </c>
      <c r="P476" s="175" t="s">
        <v>882</v>
      </c>
      <c r="Q476" s="327">
        <v>2</v>
      </c>
      <c r="R476" s="421">
        <v>0</v>
      </c>
      <c r="S476" s="175" t="s">
        <v>909</v>
      </c>
      <c r="T476" s="327">
        <v>0.4</v>
      </c>
      <c r="U476" s="421">
        <v>0</v>
      </c>
      <c r="V476" s="431"/>
      <c r="W476" s="327"/>
      <c r="X476" s="421"/>
      <c r="Y476">
        <v>7</v>
      </c>
    </row>
    <row r="477" spans="1:25" x14ac:dyDescent="0.3">
      <c r="A477" s="175" t="s">
        <v>743</v>
      </c>
      <c r="B477" s="327">
        <v>0.2</v>
      </c>
      <c r="C477" s="421">
        <v>0</v>
      </c>
      <c r="D477" s="175" t="s">
        <v>772</v>
      </c>
      <c r="E477" s="327">
        <v>0.1</v>
      </c>
      <c r="F477" s="421">
        <v>0</v>
      </c>
      <c r="G477" s="175" t="s">
        <v>804</v>
      </c>
      <c r="H477" s="327">
        <v>0.2</v>
      </c>
      <c r="I477" s="421">
        <v>0</v>
      </c>
      <c r="J477" s="175" t="s">
        <v>828</v>
      </c>
      <c r="K477" s="327">
        <v>5.7</v>
      </c>
      <c r="L477" s="421">
        <v>1</v>
      </c>
      <c r="M477" s="427" t="s">
        <v>860</v>
      </c>
      <c r="N477" s="327">
        <v>1.3</v>
      </c>
      <c r="O477" s="421">
        <v>0</v>
      </c>
      <c r="P477" s="175" t="s">
        <v>320</v>
      </c>
      <c r="Q477" s="327">
        <v>1.6</v>
      </c>
      <c r="R477" s="421">
        <v>1</v>
      </c>
      <c r="S477" s="175" t="s">
        <v>910</v>
      </c>
      <c r="T477" s="327">
        <v>0</v>
      </c>
      <c r="U477" s="421">
        <v>0</v>
      </c>
      <c r="V477" s="431"/>
      <c r="W477" s="327"/>
      <c r="X477" s="421"/>
      <c r="Y477">
        <v>8</v>
      </c>
    </row>
    <row r="478" spans="1:25" x14ac:dyDescent="0.3">
      <c r="A478" s="175" t="s">
        <v>744</v>
      </c>
      <c r="B478" s="327">
        <v>0.8</v>
      </c>
      <c r="C478" s="421">
        <v>0</v>
      </c>
      <c r="D478" s="175" t="s">
        <v>773</v>
      </c>
      <c r="E478" s="327">
        <v>0.2</v>
      </c>
      <c r="F478" s="421">
        <v>0</v>
      </c>
      <c r="G478" s="175" t="s">
        <v>805</v>
      </c>
      <c r="H478" s="327">
        <v>0.6</v>
      </c>
      <c r="I478" s="421">
        <v>0</v>
      </c>
      <c r="J478" s="175" t="s">
        <v>829</v>
      </c>
      <c r="K478" s="327">
        <v>7.2</v>
      </c>
      <c r="L478" s="421">
        <v>1</v>
      </c>
      <c r="M478" s="175" t="s">
        <v>861</v>
      </c>
      <c r="N478" s="327">
        <v>5.5</v>
      </c>
      <c r="O478" s="421">
        <v>10</v>
      </c>
      <c r="P478" s="427" t="s">
        <v>883</v>
      </c>
      <c r="Q478" s="327">
        <v>0.6</v>
      </c>
      <c r="R478" s="421">
        <v>1</v>
      </c>
      <c r="S478" s="175" t="s">
        <v>1335</v>
      </c>
      <c r="T478" s="327">
        <v>1.2</v>
      </c>
      <c r="U478" s="421">
        <v>1</v>
      </c>
      <c r="V478" s="431"/>
      <c r="W478" s="327"/>
      <c r="X478" s="421"/>
      <c r="Y478">
        <v>9</v>
      </c>
    </row>
    <row r="479" spans="1:25" x14ac:dyDescent="0.3">
      <c r="A479" s="175" t="s">
        <v>745</v>
      </c>
      <c r="B479" s="327">
        <v>0.2</v>
      </c>
      <c r="C479" s="421">
        <v>0</v>
      </c>
      <c r="D479" s="175" t="s">
        <v>774</v>
      </c>
      <c r="E479" s="327">
        <v>0.2</v>
      </c>
      <c r="F479" s="421">
        <v>0</v>
      </c>
      <c r="G479" s="175" t="s">
        <v>806</v>
      </c>
      <c r="H479" s="327">
        <v>0.8</v>
      </c>
      <c r="I479" s="421">
        <v>0</v>
      </c>
      <c r="J479" s="175" t="s">
        <v>830</v>
      </c>
      <c r="K479" s="327">
        <v>5.5</v>
      </c>
      <c r="L479" s="421">
        <v>1</v>
      </c>
      <c r="M479" s="175" t="s">
        <v>862</v>
      </c>
      <c r="N479" s="327">
        <v>5.7</v>
      </c>
      <c r="O479" s="421">
        <v>10</v>
      </c>
      <c r="P479" s="175" t="s">
        <v>884</v>
      </c>
      <c r="Q479" s="327">
        <v>0.6</v>
      </c>
      <c r="R479" s="421">
        <v>0</v>
      </c>
      <c r="S479" s="425"/>
      <c r="T479" s="328" t="s">
        <v>631</v>
      </c>
      <c r="U479" s="426" t="s">
        <v>631</v>
      </c>
      <c r="V479" s="431"/>
      <c r="W479" s="327"/>
      <c r="X479" s="421"/>
      <c r="Y479">
        <v>10</v>
      </c>
    </row>
    <row r="480" spans="1:25" x14ac:dyDescent="0.3">
      <c r="A480" s="175" t="s">
        <v>746</v>
      </c>
      <c r="B480" s="327">
        <v>0.6</v>
      </c>
      <c r="C480" s="421">
        <v>0</v>
      </c>
      <c r="D480" s="175" t="s">
        <v>775</v>
      </c>
      <c r="E480" s="327">
        <v>0.9</v>
      </c>
      <c r="F480" s="421">
        <v>0</v>
      </c>
      <c r="G480" s="175" t="s">
        <v>807</v>
      </c>
      <c r="H480" s="327">
        <v>0.3</v>
      </c>
      <c r="I480" s="421">
        <v>0</v>
      </c>
      <c r="J480" s="175" t="s">
        <v>831</v>
      </c>
      <c r="K480" s="327">
        <v>6.9</v>
      </c>
      <c r="L480" s="421">
        <v>1</v>
      </c>
      <c r="M480" s="175" t="s">
        <v>863</v>
      </c>
      <c r="N480" s="327">
        <v>3.3</v>
      </c>
      <c r="O480" s="421">
        <v>10</v>
      </c>
      <c r="P480" s="427" t="s">
        <v>885</v>
      </c>
      <c r="Q480" s="327">
        <v>2</v>
      </c>
      <c r="R480" s="421">
        <v>1</v>
      </c>
      <c r="S480" s="425"/>
      <c r="T480" s="328" t="s">
        <v>631</v>
      </c>
      <c r="U480" s="426" t="s">
        <v>631</v>
      </c>
      <c r="V480" s="431"/>
      <c r="W480" s="327"/>
      <c r="X480" s="421"/>
      <c r="Y480">
        <v>11</v>
      </c>
    </row>
    <row r="481" spans="1:25" x14ac:dyDescent="0.3">
      <c r="A481" s="175" t="s">
        <v>747</v>
      </c>
      <c r="B481" s="327">
        <v>0.8</v>
      </c>
      <c r="C481" s="421">
        <v>0</v>
      </c>
      <c r="D481" s="175" t="s">
        <v>776</v>
      </c>
      <c r="E481" s="327">
        <v>1.3</v>
      </c>
      <c r="F481" s="421">
        <v>0</v>
      </c>
      <c r="G481" s="175" t="s">
        <v>808</v>
      </c>
      <c r="H481" s="327">
        <v>0.4</v>
      </c>
      <c r="I481" s="421">
        <v>0</v>
      </c>
      <c r="J481" s="175" t="s">
        <v>832</v>
      </c>
      <c r="K481" s="327">
        <v>7</v>
      </c>
      <c r="L481" s="421">
        <v>1</v>
      </c>
      <c r="M481" s="175" t="s">
        <v>864</v>
      </c>
      <c r="N481" s="327">
        <v>2.9</v>
      </c>
      <c r="O481" s="421">
        <v>10</v>
      </c>
      <c r="P481" s="175" t="s">
        <v>886</v>
      </c>
      <c r="Q481" s="327">
        <v>2.2999999999999998</v>
      </c>
      <c r="R481" s="421">
        <v>0</v>
      </c>
      <c r="S481" s="425"/>
      <c r="T481" s="328" t="s">
        <v>631</v>
      </c>
      <c r="U481" s="426" t="s">
        <v>631</v>
      </c>
      <c r="V481" s="431"/>
      <c r="W481" s="327"/>
      <c r="X481" s="421"/>
      <c r="Y481">
        <v>12</v>
      </c>
    </row>
    <row r="482" spans="1:25" x14ac:dyDescent="0.3">
      <c r="A482" s="175" t="s">
        <v>748</v>
      </c>
      <c r="B482" s="327">
        <v>0.8</v>
      </c>
      <c r="C482" s="421">
        <v>0</v>
      </c>
      <c r="D482" s="175" t="s">
        <v>777</v>
      </c>
      <c r="E482" s="327">
        <v>0.2</v>
      </c>
      <c r="F482" s="421">
        <v>0</v>
      </c>
      <c r="G482" s="175" t="s">
        <v>809</v>
      </c>
      <c r="H482" s="327">
        <v>1.1000000000000001</v>
      </c>
      <c r="I482" s="421">
        <v>0</v>
      </c>
      <c r="J482" s="175" t="s">
        <v>833</v>
      </c>
      <c r="K482" s="327">
        <v>6</v>
      </c>
      <c r="L482" s="421">
        <v>1</v>
      </c>
      <c r="M482" s="175" t="s">
        <v>865</v>
      </c>
      <c r="N482" s="327">
        <v>0.4</v>
      </c>
      <c r="O482" s="421">
        <v>0</v>
      </c>
      <c r="P482" s="175" t="s">
        <v>887</v>
      </c>
      <c r="Q482" s="327">
        <v>1.7</v>
      </c>
      <c r="R482" s="421">
        <v>0</v>
      </c>
      <c r="S482" s="425"/>
      <c r="T482" s="328" t="s">
        <v>631</v>
      </c>
      <c r="U482" s="426" t="s">
        <v>631</v>
      </c>
      <c r="V482" s="431"/>
      <c r="W482" s="327"/>
      <c r="X482" s="421"/>
      <c r="Y482">
        <v>13</v>
      </c>
    </row>
    <row r="483" spans="1:25" x14ac:dyDescent="0.3">
      <c r="A483" s="175" t="s">
        <v>749</v>
      </c>
      <c r="B483" s="327">
        <v>0.6</v>
      </c>
      <c r="C483" s="421">
        <v>0</v>
      </c>
      <c r="D483" s="175" t="s">
        <v>778</v>
      </c>
      <c r="E483" s="327">
        <v>0.2</v>
      </c>
      <c r="F483" s="421">
        <v>0</v>
      </c>
      <c r="G483" s="175" t="s">
        <v>810</v>
      </c>
      <c r="H483" s="327">
        <v>0.9</v>
      </c>
      <c r="I483" s="421">
        <v>0</v>
      </c>
      <c r="J483" s="175" t="s">
        <v>834</v>
      </c>
      <c r="K483" s="327">
        <v>6.3</v>
      </c>
      <c r="L483" s="421">
        <v>1</v>
      </c>
      <c r="M483" s="175" t="s">
        <v>945</v>
      </c>
      <c r="N483" s="327">
        <v>13.6</v>
      </c>
      <c r="O483" s="421">
        <v>10</v>
      </c>
      <c r="P483" s="175" t="s">
        <v>888</v>
      </c>
      <c r="Q483" s="327">
        <v>2.8</v>
      </c>
      <c r="R483" s="421">
        <v>0</v>
      </c>
      <c r="S483" s="425"/>
      <c r="T483" s="328" t="s">
        <v>631</v>
      </c>
      <c r="U483" s="426" t="s">
        <v>631</v>
      </c>
      <c r="V483" s="431"/>
      <c r="W483" s="327"/>
      <c r="X483" s="421"/>
      <c r="Y483">
        <v>14</v>
      </c>
    </row>
    <row r="484" spans="1:25" x14ac:dyDescent="0.3">
      <c r="A484" s="175" t="s">
        <v>750</v>
      </c>
      <c r="B484" s="327">
        <v>0.3</v>
      </c>
      <c r="C484" s="421">
        <v>0</v>
      </c>
      <c r="D484" s="175" t="s">
        <v>779</v>
      </c>
      <c r="E484" s="327">
        <v>0.2</v>
      </c>
      <c r="F484" s="421">
        <v>0</v>
      </c>
      <c r="G484" s="175" t="s">
        <v>916</v>
      </c>
      <c r="H484" s="327">
        <v>2.9</v>
      </c>
      <c r="I484" s="421">
        <v>0</v>
      </c>
      <c r="J484" s="175" t="s">
        <v>835</v>
      </c>
      <c r="K484" s="327">
        <v>2</v>
      </c>
      <c r="L484" s="421">
        <v>0</v>
      </c>
      <c r="M484" s="175" t="s">
        <v>946</v>
      </c>
      <c r="N484" s="327">
        <v>21.7</v>
      </c>
      <c r="O484" s="421">
        <v>10</v>
      </c>
      <c r="P484" s="175" t="s">
        <v>889</v>
      </c>
      <c r="Q484" s="327">
        <v>2.5</v>
      </c>
      <c r="R484" s="421">
        <v>0</v>
      </c>
      <c r="S484" s="425"/>
      <c r="T484" s="328" t="s">
        <v>631</v>
      </c>
      <c r="U484" s="426" t="s">
        <v>631</v>
      </c>
      <c r="V484" s="431"/>
      <c r="W484" s="327"/>
      <c r="X484" s="421"/>
      <c r="Y484">
        <v>15</v>
      </c>
    </row>
    <row r="485" spans="1:25" x14ac:dyDescent="0.3">
      <c r="A485" s="175" t="s">
        <v>751</v>
      </c>
      <c r="B485" s="327">
        <v>0.2</v>
      </c>
      <c r="C485" s="421">
        <v>0</v>
      </c>
      <c r="D485" s="175" t="s">
        <v>780</v>
      </c>
      <c r="E485" s="327">
        <v>1.4</v>
      </c>
      <c r="F485" s="421">
        <v>0</v>
      </c>
      <c r="G485" s="175" t="s">
        <v>811</v>
      </c>
      <c r="H485" s="327">
        <v>1.6</v>
      </c>
      <c r="I485" s="421">
        <v>0</v>
      </c>
      <c r="J485" s="175" t="s">
        <v>836</v>
      </c>
      <c r="K485" s="327">
        <v>1.4</v>
      </c>
      <c r="L485" s="421">
        <v>1</v>
      </c>
      <c r="M485" s="427" t="s">
        <v>947</v>
      </c>
      <c r="N485" s="327">
        <v>9.1999999999999993</v>
      </c>
      <c r="O485" s="421">
        <v>10</v>
      </c>
      <c r="P485" s="175" t="s">
        <v>1206</v>
      </c>
      <c r="Q485" s="327">
        <v>0.4</v>
      </c>
      <c r="R485" s="421">
        <v>0</v>
      </c>
      <c r="S485" s="425"/>
      <c r="T485" s="328" t="s">
        <v>631</v>
      </c>
      <c r="U485" s="426" t="s">
        <v>631</v>
      </c>
      <c r="V485" s="431"/>
      <c r="W485" s="327"/>
      <c r="X485" s="421"/>
      <c r="Y485">
        <v>16</v>
      </c>
    </row>
    <row r="486" spans="1:25" x14ac:dyDescent="0.3">
      <c r="A486" s="175" t="s">
        <v>752</v>
      </c>
      <c r="B486" s="327">
        <v>0.8</v>
      </c>
      <c r="C486" s="421">
        <v>0</v>
      </c>
      <c r="D486" s="175" t="s">
        <v>781</v>
      </c>
      <c r="E486" s="327">
        <v>1.2</v>
      </c>
      <c r="F486" s="421">
        <v>0</v>
      </c>
      <c r="G486" s="175" t="s">
        <v>812</v>
      </c>
      <c r="H486" s="327">
        <v>1.8</v>
      </c>
      <c r="I486" s="421">
        <v>0</v>
      </c>
      <c r="J486" s="175" t="s">
        <v>837</v>
      </c>
      <c r="K486" s="327">
        <v>1.2</v>
      </c>
      <c r="L486" s="421">
        <v>1</v>
      </c>
      <c r="M486" s="427" t="s">
        <v>948</v>
      </c>
      <c r="N486" s="327">
        <v>15.1</v>
      </c>
      <c r="O486" s="421">
        <v>10</v>
      </c>
      <c r="P486" s="175" t="s">
        <v>890</v>
      </c>
      <c r="Q486" s="327">
        <v>0.7</v>
      </c>
      <c r="R486" s="421">
        <v>1</v>
      </c>
      <c r="S486" s="425"/>
      <c r="T486" s="328" t="s">
        <v>631</v>
      </c>
      <c r="U486" s="426" t="s">
        <v>631</v>
      </c>
      <c r="V486" s="431"/>
      <c r="W486" s="327"/>
      <c r="X486" s="421"/>
      <c r="Y486">
        <v>17</v>
      </c>
    </row>
    <row r="487" spans="1:25" x14ac:dyDescent="0.3">
      <c r="A487" s="175" t="s">
        <v>753</v>
      </c>
      <c r="B487" s="327">
        <v>1.3</v>
      </c>
      <c r="C487" s="421">
        <v>0</v>
      </c>
      <c r="D487" s="175" t="s">
        <v>782</v>
      </c>
      <c r="E487" s="327">
        <v>1.7</v>
      </c>
      <c r="F487" s="421">
        <v>0</v>
      </c>
      <c r="G487" s="175" t="s">
        <v>813</v>
      </c>
      <c r="H487" s="327">
        <v>1.9</v>
      </c>
      <c r="I487" s="421">
        <v>0</v>
      </c>
      <c r="J487" s="175" t="s">
        <v>838</v>
      </c>
      <c r="K487" s="327">
        <v>1.3</v>
      </c>
      <c r="L487" s="421">
        <v>1</v>
      </c>
      <c r="M487" s="175" t="s">
        <v>866</v>
      </c>
      <c r="N487" s="327">
        <v>9</v>
      </c>
      <c r="O487" s="421">
        <v>10</v>
      </c>
      <c r="P487" s="175" t="s">
        <v>891</v>
      </c>
      <c r="Q487" s="327">
        <v>0.8</v>
      </c>
      <c r="R487" s="421">
        <v>1</v>
      </c>
      <c r="S487" s="425"/>
      <c r="T487" s="328" t="s">
        <v>631</v>
      </c>
      <c r="U487" s="426" t="s">
        <v>631</v>
      </c>
      <c r="V487" s="431"/>
      <c r="W487" s="327"/>
      <c r="X487" s="421"/>
      <c r="Y487">
        <v>18</v>
      </c>
    </row>
    <row r="488" spans="1:25" x14ac:dyDescent="0.3">
      <c r="A488" s="175" t="s">
        <v>754</v>
      </c>
      <c r="B488" s="327">
        <v>0.3</v>
      </c>
      <c r="C488" s="421">
        <v>0</v>
      </c>
      <c r="D488" s="175" t="s">
        <v>783</v>
      </c>
      <c r="E488" s="327">
        <v>1.7</v>
      </c>
      <c r="F488" s="421">
        <v>0</v>
      </c>
      <c r="G488" s="175" t="s">
        <v>814</v>
      </c>
      <c r="H488" s="327">
        <v>4.3</v>
      </c>
      <c r="I488" s="421">
        <v>0</v>
      </c>
      <c r="J488" s="175" t="s">
        <v>839</v>
      </c>
      <c r="K488" s="327">
        <v>1.1000000000000001</v>
      </c>
      <c r="L488" s="421">
        <v>1</v>
      </c>
      <c r="M488" s="175" t="s">
        <v>867</v>
      </c>
      <c r="N488" s="327">
        <v>4.5999999999999996</v>
      </c>
      <c r="O488" s="421">
        <v>10</v>
      </c>
      <c r="P488" s="175" t="s">
        <v>892</v>
      </c>
      <c r="Q488" s="327">
        <v>3.2</v>
      </c>
      <c r="R488" s="421">
        <v>0</v>
      </c>
      <c r="S488" s="425"/>
      <c r="T488" s="328" t="s">
        <v>631</v>
      </c>
      <c r="U488" s="426" t="s">
        <v>631</v>
      </c>
      <c r="V488" s="431"/>
      <c r="W488" s="327"/>
      <c r="X488" s="421"/>
      <c r="Y488">
        <v>19</v>
      </c>
    </row>
    <row r="489" spans="1:25" x14ac:dyDescent="0.3">
      <c r="A489" s="175" t="s">
        <v>755</v>
      </c>
      <c r="B489" s="327">
        <v>0.7</v>
      </c>
      <c r="C489" s="421">
        <v>0</v>
      </c>
      <c r="D489" s="175" t="s">
        <v>784</v>
      </c>
      <c r="E489" s="327">
        <v>1.2</v>
      </c>
      <c r="F489" s="421">
        <v>0</v>
      </c>
      <c r="G489" s="175" t="s">
        <v>815</v>
      </c>
      <c r="H489" s="327">
        <v>0.4</v>
      </c>
      <c r="I489" s="421">
        <v>0</v>
      </c>
      <c r="J489" s="175" t="s">
        <v>840</v>
      </c>
      <c r="K489" s="327">
        <v>1.7</v>
      </c>
      <c r="L489" s="421">
        <v>1</v>
      </c>
      <c r="M489" s="175" t="s">
        <v>868</v>
      </c>
      <c r="N489" s="327">
        <v>5.2</v>
      </c>
      <c r="O489" s="421">
        <v>10</v>
      </c>
      <c r="P489" s="175" t="s">
        <v>949</v>
      </c>
      <c r="Q489" s="327">
        <v>2.9</v>
      </c>
      <c r="R489" s="421">
        <v>0</v>
      </c>
      <c r="S489" s="425"/>
      <c r="T489" s="328" t="s">
        <v>631</v>
      </c>
      <c r="U489" s="426" t="s">
        <v>631</v>
      </c>
      <c r="V489" s="431"/>
      <c r="W489" s="327"/>
      <c r="X489" s="421"/>
      <c r="Y489">
        <v>20</v>
      </c>
    </row>
    <row r="490" spans="1:25" x14ac:dyDescent="0.3">
      <c r="A490" s="175" t="s">
        <v>756</v>
      </c>
      <c r="B490" s="327">
        <v>1.3</v>
      </c>
      <c r="C490" s="421">
        <v>0</v>
      </c>
      <c r="D490" s="175" t="s">
        <v>785</v>
      </c>
      <c r="E490" s="327">
        <v>0.3</v>
      </c>
      <c r="F490" s="421">
        <v>0</v>
      </c>
      <c r="G490" s="175" t="s">
        <v>816</v>
      </c>
      <c r="H490" s="327">
        <v>0.3</v>
      </c>
      <c r="I490" s="421">
        <v>0</v>
      </c>
      <c r="J490" s="175" t="s">
        <v>841</v>
      </c>
      <c r="K490" s="327">
        <v>0.3</v>
      </c>
      <c r="L490" s="421">
        <v>0</v>
      </c>
      <c r="M490" s="175" t="s">
        <v>869</v>
      </c>
      <c r="N490" s="327">
        <v>4.5999999999999996</v>
      </c>
      <c r="O490" s="421">
        <v>10</v>
      </c>
      <c r="P490" s="175" t="s">
        <v>893</v>
      </c>
      <c r="Q490" s="327">
        <v>0.7</v>
      </c>
      <c r="R490" s="421">
        <v>1</v>
      </c>
      <c r="S490" s="425"/>
      <c r="T490" s="328" t="s">
        <v>631</v>
      </c>
      <c r="U490" s="426" t="s">
        <v>631</v>
      </c>
      <c r="V490" s="431"/>
      <c r="W490" s="327"/>
      <c r="X490" s="421"/>
      <c r="Y490">
        <v>21</v>
      </c>
    </row>
    <row r="491" spans="1:25" x14ac:dyDescent="0.3">
      <c r="A491" s="175" t="s">
        <v>757</v>
      </c>
      <c r="B491" s="327">
        <v>2.4</v>
      </c>
      <c r="C491" s="421">
        <v>0</v>
      </c>
      <c r="D491" s="175" t="s">
        <v>786</v>
      </c>
      <c r="E491" s="327">
        <v>0.6</v>
      </c>
      <c r="F491" s="421">
        <v>0</v>
      </c>
      <c r="G491" s="175" t="s">
        <v>817</v>
      </c>
      <c r="H491" s="327">
        <v>0.3</v>
      </c>
      <c r="I491" s="421">
        <v>0</v>
      </c>
      <c r="J491" s="175" t="s">
        <v>842</v>
      </c>
      <c r="K491" s="327">
        <v>0.3</v>
      </c>
      <c r="L491" s="421">
        <v>0</v>
      </c>
      <c r="M491" s="175" t="s">
        <v>870</v>
      </c>
      <c r="N491" s="327">
        <v>2.5</v>
      </c>
      <c r="O491" s="421">
        <v>0</v>
      </c>
      <c r="P491" s="175" t="s">
        <v>894</v>
      </c>
      <c r="Q491" s="327">
        <v>3.3</v>
      </c>
      <c r="R491" s="421">
        <v>0</v>
      </c>
      <c r="S491" s="425"/>
      <c r="T491" s="328" t="s">
        <v>631</v>
      </c>
      <c r="U491" s="426" t="s">
        <v>631</v>
      </c>
      <c r="V491" s="431"/>
      <c r="W491" s="327"/>
      <c r="X491" s="421"/>
      <c r="Y491">
        <v>22</v>
      </c>
    </row>
    <row r="492" spans="1:25" x14ac:dyDescent="0.3">
      <c r="A492" s="175" t="s">
        <v>758</v>
      </c>
      <c r="B492" s="327">
        <v>0.4</v>
      </c>
      <c r="C492" s="421">
        <v>0</v>
      </c>
      <c r="D492" s="175" t="s">
        <v>787</v>
      </c>
      <c r="E492" s="327">
        <v>0.2</v>
      </c>
      <c r="F492" s="421">
        <v>0</v>
      </c>
      <c r="G492" s="175" t="s">
        <v>818</v>
      </c>
      <c r="H492" s="327">
        <v>0.1</v>
      </c>
      <c r="I492" s="421">
        <v>0</v>
      </c>
      <c r="J492" s="175" t="s">
        <v>843</v>
      </c>
      <c r="K492" s="327">
        <v>0.3</v>
      </c>
      <c r="L492" s="421">
        <v>0</v>
      </c>
      <c r="M492" s="175" t="s">
        <v>871</v>
      </c>
      <c r="N492" s="327">
        <v>1</v>
      </c>
      <c r="O492" s="421">
        <v>0</v>
      </c>
      <c r="P492" s="175" t="s">
        <v>401</v>
      </c>
      <c r="Q492" s="327">
        <v>3.1</v>
      </c>
      <c r="R492" s="421">
        <v>0</v>
      </c>
      <c r="S492" s="425"/>
      <c r="T492" s="328" t="s">
        <v>631</v>
      </c>
      <c r="U492" s="426" t="s">
        <v>631</v>
      </c>
      <c r="V492" s="431"/>
      <c r="W492" s="327"/>
      <c r="X492" s="421"/>
      <c r="Y492">
        <v>23</v>
      </c>
    </row>
    <row r="493" spans="1:25" x14ac:dyDescent="0.3">
      <c r="A493" s="175" t="s">
        <v>759</v>
      </c>
      <c r="B493" s="327">
        <v>2.2999999999999998</v>
      </c>
      <c r="C493" s="421">
        <v>0</v>
      </c>
      <c r="D493" s="175" t="s">
        <v>788</v>
      </c>
      <c r="E493" s="327">
        <v>1.6</v>
      </c>
      <c r="F493" s="421">
        <v>0</v>
      </c>
      <c r="G493" s="175" t="s">
        <v>819</v>
      </c>
      <c r="H493" s="327">
        <v>0.2</v>
      </c>
      <c r="I493" s="421">
        <v>0</v>
      </c>
      <c r="J493" s="175" t="s">
        <v>844</v>
      </c>
      <c r="K493" s="327">
        <v>0.4</v>
      </c>
      <c r="L493" s="421">
        <v>0</v>
      </c>
      <c r="M493" s="175" t="s">
        <v>872</v>
      </c>
      <c r="N493" s="327">
        <v>0.7</v>
      </c>
      <c r="O493" s="421">
        <v>0</v>
      </c>
      <c r="P493" s="175" t="s">
        <v>895</v>
      </c>
      <c r="Q493" s="327">
        <v>4.0999999999999996</v>
      </c>
      <c r="R493" s="421">
        <v>1</v>
      </c>
      <c r="S493" s="425"/>
      <c r="T493" s="328" t="s">
        <v>631</v>
      </c>
      <c r="U493" s="426" t="s">
        <v>631</v>
      </c>
      <c r="V493" s="431"/>
      <c r="W493" s="327"/>
      <c r="X493" s="421"/>
      <c r="Y493">
        <v>24</v>
      </c>
    </row>
    <row r="494" spans="1:25" x14ac:dyDescent="0.3">
      <c r="A494" s="175" t="s">
        <v>760</v>
      </c>
      <c r="B494" s="327">
        <v>1.2</v>
      </c>
      <c r="C494" s="421">
        <v>0</v>
      </c>
      <c r="D494" s="175" t="s">
        <v>789</v>
      </c>
      <c r="E494" s="327">
        <v>0.2</v>
      </c>
      <c r="F494" s="421">
        <v>0</v>
      </c>
      <c r="G494" s="175" t="s">
        <v>820</v>
      </c>
      <c r="H494" s="327">
        <v>0.2</v>
      </c>
      <c r="I494" s="421">
        <v>0</v>
      </c>
      <c r="J494" s="175" t="s">
        <v>845</v>
      </c>
      <c r="K494" s="327">
        <v>3.3</v>
      </c>
      <c r="L494" s="421">
        <v>1</v>
      </c>
      <c r="M494" s="175" t="s">
        <v>873</v>
      </c>
      <c r="N494" s="327">
        <v>1</v>
      </c>
      <c r="O494" s="421">
        <v>0</v>
      </c>
      <c r="P494" s="175" t="s">
        <v>896</v>
      </c>
      <c r="Q494" s="327">
        <v>1.5</v>
      </c>
      <c r="R494" s="421">
        <v>0</v>
      </c>
      <c r="S494" s="425"/>
      <c r="T494" s="328" t="s">
        <v>631</v>
      </c>
      <c r="U494" s="426" t="s">
        <v>631</v>
      </c>
      <c r="V494" s="431"/>
      <c r="W494" s="327"/>
      <c r="X494" s="421"/>
      <c r="Y494">
        <v>25</v>
      </c>
    </row>
    <row r="495" spans="1:25" x14ac:dyDescent="0.3">
      <c r="A495" s="175" t="s">
        <v>761</v>
      </c>
      <c r="B495" s="327">
        <v>1.7</v>
      </c>
      <c r="C495" s="421">
        <v>0</v>
      </c>
      <c r="D495" s="175" t="s">
        <v>790</v>
      </c>
      <c r="E495" s="327">
        <v>0.3</v>
      </c>
      <c r="F495" s="421">
        <v>0</v>
      </c>
      <c r="G495" s="425"/>
      <c r="H495" s="328" t="s">
        <v>631</v>
      </c>
      <c r="I495" s="426" t="s">
        <v>631</v>
      </c>
      <c r="J495" s="175" t="s">
        <v>846</v>
      </c>
      <c r="K495" s="327">
        <v>4.0999999999999996</v>
      </c>
      <c r="L495" s="421">
        <v>1</v>
      </c>
      <c r="M495" s="175" t="s">
        <v>944</v>
      </c>
      <c r="N495" s="327">
        <v>11.5</v>
      </c>
      <c r="O495" s="421">
        <v>10</v>
      </c>
      <c r="P495" s="175" t="s">
        <v>897</v>
      </c>
      <c r="Q495" s="327">
        <v>3.2</v>
      </c>
      <c r="R495" s="421">
        <v>1</v>
      </c>
      <c r="S495" s="425"/>
      <c r="T495" s="328" t="s">
        <v>631</v>
      </c>
      <c r="U495" s="426" t="s">
        <v>631</v>
      </c>
      <c r="V495" s="431"/>
      <c r="W495" s="327"/>
      <c r="X495" s="421"/>
      <c r="Y495">
        <v>26</v>
      </c>
    </row>
    <row r="496" spans="1:25" x14ac:dyDescent="0.3">
      <c r="A496" s="175" t="s">
        <v>762</v>
      </c>
      <c r="B496" s="327">
        <v>1.7</v>
      </c>
      <c r="C496" s="421">
        <v>0</v>
      </c>
      <c r="D496" s="175" t="s">
        <v>791</v>
      </c>
      <c r="E496" s="327">
        <v>0.6</v>
      </c>
      <c r="F496" s="421">
        <v>0</v>
      </c>
      <c r="G496" s="425"/>
      <c r="H496" s="328" t="s">
        <v>631</v>
      </c>
      <c r="I496" s="426" t="s">
        <v>631</v>
      </c>
      <c r="J496" s="175" t="s">
        <v>847</v>
      </c>
      <c r="K496" s="327">
        <v>2.4</v>
      </c>
      <c r="L496" s="421">
        <v>1</v>
      </c>
      <c r="M496" s="175" t="s">
        <v>874</v>
      </c>
      <c r="N496" s="327">
        <v>2.9</v>
      </c>
      <c r="O496" s="421">
        <v>10</v>
      </c>
      <c r="P496" s="175" t="s">
        <v>898</v>
      </c>
      <c r="Q496" s="327">
        <v>0.9</v>
      </c>
      <c r="R496" s="421">
        <v>0</v>
      </c>
      <c r="S496" s="425"/>
      <c r="T496" s="328" t="s">
        <v>631</v>
      </c>
      <c r="U496" s="426" t="s">
        <v>631</v>
      </c>
      <c r="V496" s="431"/>
      <c r="W496" s="327"/>
      <c r="X496" s="421"/>
      <c r="Y496">
        <v>27</v>
      </c>
    </row>
    <row r="497" spans="1:25" x14ac:dyDescent="0.3">
      <c r="A497" s="175" t="s">
        <v>763</v>
      </c>
      <c r="B497" s="327">
        <v>0.3</v>
      </c>
      <c r="C497" s="421">
        <v>0</v>
      </c>
      <c r="D497" s="175" t="s">
        <v>792</v>
      </c>
      <c r="E497" s="327">
        <v>0.2</v>
      </c>
      <c r="F497" s="421">
        <v>0</v>
      </c>
      <c r="G497" s="425"/>
      <c r="H497" s="328" t="s">
        <v>631</v>
      </c>
      <c r="I497" s="426" t="s">
        <v>631</v>
      </c>
      <c r="J497" s="175" t="s">
        <v>848</v>
      </c>
      <c r="K497" s="327">
        <v>0.7</v>
      </c>
      <c r="L497" s="421">
        <v>0</v>
      </c>
      <c r="M497" s="175" t="s">
        <v>875</v>
      </c>
      <c r="N497" s="327">
        <v>1.7</v>
      </c>
      <c r="O497" s="421">
        <v>0</v>
      </c>
      <c r="P497" s="175" t="s">
        <v>899</v>
      </c>
      <c r="Q497" s="327">
        <v>0.7</v>
      </c>
      <c r="R497" s="421">
        <v>0</v>
      </c>
      <c r="S497" s="425"/>
      <c r="T497" s="328" t="s">
        <v>631</v>
      </c>
      <c r="U497" s="426" t="s">
        <v>631</v>
      </c>
      <c r="V497" s="431"/>
      <c r="W497" s="327"/>
      <c r="X497" s="421"/>
      <c r="Y497">
        <v>28</v>
      </c>
    </row>
    <row r="498" spans="1:25" x14ac:dyDescent="0.3">
      <c r="A498" s="175" t="s">
        <v>764</v>
      </c>
      <c r="B498" s="327">
        <v>0.3</v>
      </c>
      <c r="C498" s="421">
        <v>0</v>
      </c>
      <c r="D498" s="175" t="s">
        <v>793</v>
      </c>
      <c r="E498" s="327">
        <v>1.3</v>
      </c>
      <c r="F498" s="421">
        <v>0</v>
      </c>
      <c r="G498" s="425"/>
      <c r="H498" s="328" t="s">
        <v>631</v>
      </c>
      <c r="I498" s="426" t="s">
        <v>631</v>
      </c>
      <c r="J498" s="175" t="s">
        <v>322</v>
      </c>
      <c r="K498" s="327">
        <v>4.2</v>
      </c>
      <c r="L498" s="421">
        <v>1</v>
      </c>
      <c r="M498" s="175" t="s">
        <v>876</v>
      </c>
      <c r="N498" s="327">
        <v>7.9</v>
      </c>
      <c r="O498" s="421">
        <v>10</v>
      </c>
      <c r="P498" s="175" t="s">
        <v>900</v>
      </c>
      <c r="Q498" s="327">
        <v>0.5</v>
      </c>
      <c r="R498" s="421">
        <v>0</v>
      </c>
      <c r="S498" s="425"/>
      <c r="T498" s="328" t="s">
        <v>631</v>
      </c>
      <c r="U498" s="426" t="s">
        <v>631</v>
      </c>
      <c r="V498" s="431"/>
      <c r="W498" s="327"/>
      <c r="X498" s="421"/>
      <c r="Y498">
        <v>29</v>
      </c>
    </row>
    <row r="499" spans="1:25" x14ac:dyDescent="0.3">
      <c r="A499" s="175" t="s">
        <v>765</v>
      </c>
      <c r="B499" s="327">
        <v>0.4</v>
      </c>
      <c r="C499" s="421">
        <v>0</v>
      </c>
      <c r="D499" s="175" t="s">
        <v>794</v>
      </c>
      <c r="E499" s="327">
        <v>0.2</v>
      </c>
      <c r="F499" s="421">
        <v>0</v>
      </c>
      <c r="G499" s="425"/>
      <c r="H499" s="328" t="s">
        <v>631</v>
      </c>
      <c r="I499" s="426" t="s">
        <v>631</v>
      </c>
      <c r="J499" s="175" t="s">
        <v>849</v>
      </c>
      <c r="K499" s="327">
        <v>5.3</v>
      </c>
      <c r="L499" s="421">
        <v>1</v>
      </c>
      <c r="M499" s="425"/>
      <c r="N499" s="328" t="s">
        <v>631</v>
      </c>
      <c r="O499" s="426" t="s">
        <v>631</v>
      </c>
      <c r="P499" s="175" t="s">
        <v>901</v>
      </c>
      <c r="Q499" s="327">
        <v>1</v>
      </c>
      <c r="R499" s="421">
        <v>0</v>
      </c>
      <c r="S499" s="425"/>
      <c r="T499" s="328" t="s">
        <v>631</v>
      </c>
      <c r="U499" s="426" t="s">
        <v>631</v>
      </c>
      <c r="V499" s="431"/>
      <c r="W499" s="327"/>
      <c r="X499" s="421"/>
      <c r="Y499">
        <v>30</v>
      </c>
    </row>
    <row r="500" spans="1:25" x14ac:dyDescent="0.3">
      <c r="A500" s="175" t="s">
        <v>766</v>
      </c>
      <c r="B500" s="327">
        <v>0.7</v>
      </c>
      <c r="C500" s="421">
        <v>0</v>
      </c>
      <c r="D500" s="175" t="s">
        <v>795</v>
      </c>
      <c r="E500" s="327">
        <v>0.7</v>
      </c>
      <c r="F500" s="421">
        <v>0</v>
      </c>
      <c r="G500" s="425"/>
      <c r="H500" s="328" t="s">
        <v>631</v>
      </c>
      <c r="I500" s="426" t="s">
        <v>631</v>
      </c>
      <c r="J500" s="175" t="s">
        <v>850</v>
      </c>
      <c r="K500" s="327">
        <v>0.6</v>
      </c>
      <c r="L500" s="421">
        <v>0</v>
      </c>
      <c r="M500" s="425"/>
      <c r="N500" s="328" t="s">
        <v>631</v>
      </c>
      <c r="O500" s="426" t="s">
        <v>631</v>
      </c>
      <c r="P500" s="175" t="s">
        <v>902</v>
      </c>
      <c r="Q500" s="327">
        <v>0.9</v>
      </c>
      <c r="R500" s="421">
        <v>0</v>
      </c>
      <c r="S500" s="425"/>
      <c r="T500" s="328" t="s">
        <v>631</v>
      </c>
      <c r="U500" s="426" t="s">
        <v>631</v>
      </c>
      <c r="V500" s="431"/>
      <c r="W500" s="327"/>
      <c r="X500" s="421"/>
      <c r="Y500">
        <v>31</v>
      </c>
    </row>
    <row r="501" spans="1:25" x14ac:dyDescent="0.3">
      <c r="A501" s="175" t="s">
        <v>767</v>
      </c>
      <c r="B501" s="327">
        <v>3.4</v>
      </c>
      <c r="C501" s="421">
        <v>0</v>
      </c>
      <c r="D501" s="175" t="s">
        <v>796</v>
      </c>
      <c r="E501" s="327">
        <v>0.3</v>
      </c>
      <c r="F501" s="421">
        <v>0</v>
      </c>
      <c r="G501" s="425"/>
      <c r="H501" s="328" t="s">
        <v>631</v>
      </c>
      <c r="I501" s="426" t="s">
        <v>631</v>
      </c>
      <c r="J501" s="175" t="s">
        <v>851</v>
      </c>
      <c r="K501" s="327">
        <v>3</v>
      </c>
      <c r="L501" s="421">
        <v>1</v>
      </c>
      <c r="M501" s="425"/>
      <c r="N501" s="328" t="s">
        <v>631</v>
      </c>
      <c r="O501" s="426" t="s">
        <v>631</v>
      </c>
      <c r="P501" s="425"/>
      <c r="Q501" s="328" t="s">
        <v>631</v>
      </c>
      <c r="R501" s="426" t="s">
        <v>631</v>
      </c>
      <c r="S501" s="425"/>
      <c r="T501" s="328" t="s">
        <v>631</v>
      </c>
      <c r="U501" s="426" t="s">
        <v>631</v>
      </c>
      <c r="V501" s="431"/>
      <c r="W501" s="327"/>
      <c r="X501" s="421"/>
      <c r="Y501">
        <v>32</v>
      </c>
    </row>
    <row r="502" spans="1:25" ht="15" thickBot="1" x14ac:dyDescent="0.35">
      <c r="A502" s="422"/>
      <c r="B502" s="423" t="s">
        <v>631</v>
      </c>
      <c r="C502" s="424" t="s">
        <v>631</v>
      </c>
      <c r="D502" s="422"/>
      <c r="E502" s="423" t="s">
        <v>631</v>
      </c>
      <c r="F502" s="424" t="s">
        <v>631</v>
      </c>
      <c r="G502" s="422"/>
      <c r="H502" s="423" t="s">
        <v>631</v>
      </c>
      <c r="I502" s="424" t="s">
        <v>631</v>
      </c>
      <c r="J502" s="422"/>
      <c r="K502" s="423" t="s">
        <v>631</v>
      </c>
      <c r="L502" s="424" t="s">
        <v>631</v>
      </c>
      <c r="M502" s="422"/>
      <c r="N502" s="423" t="s">
        <v>631</v>
      </c>
      <c r="O502" s="424" t="s">
        <v>631</v>
      </c>
      <c r="P502" s="422"/>
      <c r="Q502" s="423" t="s">
        <v>631</v>
      </c>
      <c r="R502" s="424" t="s">
        <v>631</v>
      </c>
      <c r="S502" s="422"/>
      <c r="T502" s="423" t="s">
        <v>631</v>
      </c>
      <c r="U502" s="424" t="s">
        <v>631</v>
      </c>
      <c r="V502" s="432"/>
      <c r="W502" s="433"/>
      <c r="X502" s="434"/>
      <c r="Y502">
        <v>33</v>
      </c>
    </row>
    <row r="503" spans="1:25" x14ac:dyDescent="0.3"/>
    <row r="504" spans="1:25" x14ac:dyDescent="0.3"/>
    <row r="505" spans="1:25" x14ac:dyDescent="0.3"/>
    <row r="506" spans="1:25" ht="18" thickBot="1" x14ac:dyDescent="0.4">
      <c r="B506" s="496" t="s">
        <v>1495</v>
      </c>
      <c r="C506" s="496"/>
      <c r="D506" s="496"/>
      <c r="E506" s="496"/>
    </row>
    <row r="507" spans="1:25" ht="15" thickTop="1" x14ac:dyDescent="0.3"/>
    <row r="508" spans="1:25" x14ac:dyDescent="0.3"/>
    <row r="509" spans="1:25" x14ac:dyDescent="0.3"/>
    <row r="510" spans="1:25" ht="29.4" x14ac:dyDescent="0.35">
      <c r="C510" s="184" t="s">
        <v>1339</v>
      </c>
      <c r="D510" s="184" t="s">
        <v>1340</v>
      </c>
      <c r="E510" s="184" t="s">
        <v>555</v>
      </c>
      <c r="F510" s="184" t="s">
        <v>1334</v>
      </c>
    </row>
    <row r="511" spans="1:25" x14ac:dyDescent="0.3">
      <c r="C511" s="31" t="s">
        <v>27</v>
      </c>
      <c r="D511" s="327"/>
      <c r="E511" s="533"/>
      <c r="F511" s="533"/>
    </row>
    <row r="512" spans="1:25" x14ac:dyDescent="0.3">
      <c r="C512" s="31" t="s">
        <v>1336</v>
      </c>
      <c r="D512" s="327">
        <f>MROUND(AVERAGE(D514:D521),10)</f>
        <v>260</v>
      </c>
      <c r="E512" s="533" t="s">
        <v>1352</v>
      </c>
      <c r="F512" s="533"/>
    </row>
    <row r="513" spans="2:6" x14ac:dyDescent="0.3">
      <c r="C513" s="536" t="s">
        <v>1318</v>
      </c>
      <c r="D513" s="327">
        <v>60</v>
      </c>
      <c r="E513" s="533" t="s">
        <v>1343</v>
      </c>
      <c r="F513" s="533" t="s">
        <v>1349</v>
      </c>
    </row>
    <row r="514" spans="2:6" x14ac:dyDescent="0.3">
      <c r="C514" s="536" t="s">
        <v>1319</v>
      </c>
      <c r="D514" s="327">
        <v>240</v>
      </c>
      <c r="E514" s="533" t="s">
        <v>1344</v>
      </c>
      <c r="F514" s="533" t="s">
        <v>1349</v>
      </c>
    </row>
    <row r="515" spans="2:6" x14ac:dyDescent="0.3">
      <c r="C515" s="536" t="s">
        <v>1320</v>
      </c>
      <c r="D515" s="327">
        <v>230</v>
      </c>
      <c r="E515" s="533" t="s">
        <v>1345</v>
      </c>
      <c r="F515" s="533" t="s">
        <v>1349</v>
      </c>
    </row>
    <row r="516" spans="2:6" x14ac:dyDescent="0.3">
      <c r="C516" s="536" t="s">
        <v>1321</v>
      </c>
      <c r="D516" s="327">
        <v>230</v>
      </c>
      <c r="E516" s="533" t="s">
        <v>1345</v>
      </c>
      <c r="F516" s="533" t="s">
        <v>1349</v>
      </c>
    </row>
    <row r="517" spans="2:6" x14ac:dyDescent="0.3">
      <c r="C517" s="536" t="s">
        <v>1322</v>
      </c>
      <c r="D517" s="327">
        <v>147</v>
      </c>
      <c r="E517" s="533" t="s">
        <v>1346</v>
      </c>
      <c r="F517" s="533" t="s">
        <v>1349</v>
      </c>
    </row>
    <row r="518" spans="2:6" x14ac:dyDescent="0.3">
      <c r="C518" s="536" t="s">
        <v>1323</v>
      </c>
      <c r="D518" s="327">
        <v>430</v>
      </c>
      <c r="E518" s="533" t="s">
        <v>1347</v>
      </c>
      <c r="F518" s="533" t="s">
        <v>1349</v>
      </c>
    </row>
    <row r="519" spans="2:6" x14ac:dyDescent="0.3">
      <c r="C519" s="536" t="s">
        <v>1324</v>
      </c>
      <c r="D519" s="327">
        <v>350</v>
      </c>
      <c r="E519" s="533" t="s">
        <v>1348</v>
      </c>
      <c r="F519" s="533" t="s">
        <v>1349</v>
      </c>
    </row>
    <row r="520" spans="2:6" x14ac:dyDescent="0.3">
      <c r="C520" s="536" t="s">
        <v>1325</v>
      </c>
      <c r="D520" s="327">
        <v>250</v>
      </c>
      <c r="E520" s="533" t="s">
        <v>715</v>
      </c>
      <c r="F520" s="533"/>
    </row>
    <row r="521" spans="2:6" x14ac:dyDescent="0.3">
      <c r="C521" s="31" t="s">
        <v>1337</v>
      </c>
      <c r="D521" s="327">
        <f>MROUND(AVERAGE(D522:D525),10)</f>
        <v>200</v>
      </c>
      <c r="E521" s="533" t="s">
        <v>1352</v>
      </c>
      <c r="F521" s="533"/>
    </row>
    <row r="522" spans="2:6" x14ac:dyDescent="0.3">
      <c r="C522" s="536" t="s">
        <v>1326</v>
      </c>
      <c r="D522" s="327">
        <v>180</v>
      </c>
      <c r="E522" s="533" t="s">
        <v>1350</v>
      </c>
      <c r="F522" s="533" t="s">
        <v>1349</v>
      </c>
    </row>
    <row r="523" spans="2:6" x14ac:dyDescent="0.3">
      <c r="C523" s="536" t="s">
        <v>1327</v>
      </c>
      <c r="D523" s="327">
        <v>180</v>
      </c>
      <c r="E523" s="533" t="s">
        <v>1350</v>
      </c>
      <c r="F523" s="533" t="s">
        <v>1349</v>
      </c>
    </row>
    <row r="524" spans="2:6" x14ac:dyDescent="0.3">
      <c r="C524" s="536" t="s">
        <v>1328</v>
      </c>
      <c r="D524" s="327">
        <v>300</v>
      </c>
      <c r="E524" s="533" t="s">
        <v>715</v>
      </c>
      <c r="F524" s="533"/>
    </row>
    <row r="525" spans="2:6" x14ac:dyDescent="0.3">
      <c r="C525" s="536" t="s">
        <v>1329</v>
      </c>
      <c r="D525" s="327">
        <v>150</v>
      </c>
      <c r="E525" s="533" t="s">
        <v>1351</v>
      </c>
      <c r="F525" s="533"/>
    </row>
    <row r="526" spans="2:6" x14ac:dyDescent="0.3">
      <c r="C526" s="31" t="s">
        <v>1338</v>
      </c>
      <c r="D526" s="327">
        <f>MROUND(AVERAGE(D527:D530),10)</f>
        <v>480</v>
      </c>
      <c r="E526" s="533" t="s">
        <v>1352</v>
      </c>
      <c r="F526" s="533"/>
    </row>
    <row r="527" spans="2:6" x14ac:dyDescent="0.3">
      <c r="B527" s="384"/>
      <c r="C527" s="536" t="s">
        <v>1330</v>
      </c>
      <c r="D527" s="327">
        <v>600</v>
      </c>
      <c r="E527" s="533" t="s">
        <v>1342</v>
      </c>
      <c r="F527" s="533" t="s">
        <v>1341</v>
      </c>
    </row>
    <row r="528" spans="2:6" x14ac:dyDescent="0.3">
      <c r="C528" s="536" t="s">
        <v>1331</v>
      </c>
      <c r="D528" s="327">
        <v>600</v>
      </c>
      <c r="E528" s="533" t="s">
        <v>1342</v>
      </c>
      <c r="F528" s="533" t="s">
        <v>1341</v>
      </c>
    </row>
    <row r="529" spans="2:6" x14ac:dyDescent="0.3">
      <c r="C529" s="536" t="s">
        <v>1332</v>
      </c>
      <c r="D529" s="327">
        <v>300</v>
      </c>
      <c r="E529" s="533" t="s">
        <v>1342</v>
      </c>
      <c r="F529" s="533" t="s">
        <v>1341</v>
      </c>
    </row>
    <row r="530" spans="2:6" x14ac:dyDescent="0.3">
      <c r="C530" s="536" t="s">
        <v>1333</v>
      </c>
      <c r="D530" s="327">
        <v>400</v>
      </c>
      <c r="E530" s="533" t="s">
        <v>1342</v>
      </c>
      <c r="F530" s="533" t="s">
        <v>1341</v>
      </c>
    </row>
    <row r="531" spans="2:6" x14ac:dyDescent="0.3">
      <c r="C531" s="31" t="s">
        <v>1354</v>
      </c>
      <c r="D531" s="327"/>
      <c r="E531" s="533"/>
      <c r="F531" s="533"/>
    </row>
    <row r="532" spans="2:6" x14ac:dyDescent="0.3">
      <c r="C532" s="328" t="s">
        <v>1353</v>
      </c>
      <c r="D532" s="328">
        <v>600</v>
      </c>
      <c r="E532" s="328"/>
      <c r="F532" s="328"/>
    </row>
    <row r="533" spans="2:6" x14ac:dyDescent="0.3">
      <c r="C533" s="328" t="s">
        <v>1355</v>
      </c>
      <c r="D533" s="328">
        <v>600</v>
      </c>
      <c r="E533" s="328"/>
      <c r="F533" s="328"/>
    </row>
    <row r="534" spans="2:6" x14ac:dyDescent="0.3">
      <c r="C534" s="328" t="s">
        <v>1356</v>
      </c>
      <c r="D534" s="328">
        <v>600</v>
      </c>
      <c r="E534" s="328"/>
      <c r="F534" s="328"/>
    </row>
    <row r="535" spans="2:6" x14ac:dyDescent="0.3">
      <c r="C535" s="328" t="s">
        <v>1181</v>
      </c>
      <c r="D535" s="328">
        <v>600</v>
      </c>
      <c r="E535" s="328"/>
      <c r="F535" s="328"/>
    </row>
    <row r="536" spans="2:6" x14ac:dyDescent="0.3"/>
    <row r="537" spans="2:6" x14ac:dyDescent="0.3"/>
    <row r="538" spans="2:6" x14ac:dyDescent="0.3">
      <c r="F538" s="535"/>
    </row>
    <row r="539" spans="2:6" x14ac:dyDescent="0.3">
      <c r="F539" s="535"/>
    </row>
    <row r="540" spans="2:6" hidden="1" x14ac:dyDescent="0.3">
      <c r="F540" s="535"/>
    </row>
    <row r="541" spans="2:6" ht="20.399999999999999" hidden="1" thickBot="1" x14ac:dyDescent="0.45">
      <c r="B541" s="478" t="s">
        <v>1220</v>
      </c>
      <c r="C541" s="478"/>
      <c r="D541" s="534"/>
      <c r="E541" s="478"/>
      <c r="F541" s="478"/>
    </row>
    <row r="542" spans="2:6" ht="15" hidden="1" thickTop="1" x14ac:dyDescent="0.3">
      <c r="F542" s="535"/>
    </row>
    <row r="543" spans="2:6" hidden="1" x14ac:dyDescent="0.3">
      <c r="C543" s="326" t="s">
        <v>318</v>
      </c>
      <c r="D543" s="326" t="s">
        <v>735</v>
      </c>
      <c r="E543" s="326" t="s">
        <v>953</v>
      </c>
    </row>
    <row r="544" spans="2:6" hidden="1" x14ac:dyDescent="0.3">
      <c r="C544" s="31" t="s">
        <v>736</v>
      </c>
      <c r="D544" s="327">
        <v>0.9</v>
      </c>
      <c r="E544" s="327">
        <v>0</v>
      </c>
    </row>
    <row r="545" spans="3:5" hidden="1" x14ac:dyDescent="0.3">
      <c r="C545" s="31" t="s">
        <v>737</v>
      </c>
      <c r="D545" s="327">
        <v>0.6</v>
      </c>
      <c r="E545" s="327">
        <v>0</v>
      </c>
    </row>
    <row r="546" spans="3:5" hidden="1" x14ac:dyDescent="0.3">
      <c r="C546" s="31" t="s">
        <v>738</v>
      </c>
      <c r="D546" s="327">
        <v>15.1</v>
      </c>
      <c r="E546" s="327">
        <v>0</v>
      </c>
    </row>
    <row r="547" spans="3:5" hidden="1" x14ac:dyDescent="0.3">
      <c r="C547" s="31" t="s">
        <v>739</v>
      </c>
      <c r="D547" s="327">
        <v>1.8</v>
      </c>
      <c r="E547" s="327">
        <v>0</v>
      </c>
    </row>
    <row r="548" spans="3:5" hidden="1" x14ac:dyDescent="0.3">
      <c r="C548" s="31" t="s">
        <v>740</v>
      </c>
      <c r="D548" s="327">
        <v>0.3</v>
      </c>
      <c r="E548" s="327">
        <v>0</v>
      </c>
    </row>
    <row r="549" spans="3:5" hidden="1" x14ac:dyDescent="0.3">
      <c r="C549" s="31" t="s">
        <v>741</v>
      </c>
      <c r="D549" s="327">
        <v>0.3</v>
      </c>
      <c r="E549" s="327">
        <v>0</v>
      </c>
    </row>
    <row r="550" spans="3:5" hidden="1" x14ac:dyDescent="0.3">
      <c r="C550" s="31" t="s">
        <v>742</v>
      </c>
      <c r="D550" s="327">
        <v>0.4</v>
      </c>
      <c r="E550" s="327">
        <v>0</v>
      </c>
    </row>
    <row r="551" spans="3:5" hidden="1" x14ac:dyDescent="0.3">
      <c r="C551" s="31" t="s">
        <v>743</v>
      </c>
      <c r="D551" s="327">
        <v>0.2</v>
      </c>
      <c r="E551" s="327">
        <v>0</v>
      </c>
    </row>
    <row r="552" spans="3:5" hidden="1" x14ac:dyDescent="0.3">
      <c r="C552" s="31" t="s">
        <v>744</v>
      </c>
      <c r="D552" s="327">
        <v>0.8</v>
      </c>
      <c r="E552" s="327">
        <v>0</v>
      </c>
    </row>
    <row r="553" spans="3:5" hidden="1" x14ac:dyDescent="0.3">
      <c r="C553" s="31" t="s">
        <v>745</v>
      </c>
      <c r="D553" s="327">
        <v>0.2</v>
      </c>
      <c r="E553" s="327">
        <v>0</v>
      </c>
    </row>
    <row r="554" spans="3:5" hidden="1" x14ac:dyDescent="0.3">
      <c r="C554" s="31" t="s">
        <v>746</v>
      </c>
      <c r="D554" s="327">
        <v>0.6</v>
      </c>
      <c r="E554" s="327">
        <v>0</v>
      </c>
    </row>
    <row r="555" spans="3:5" hidden="1" x14ac:dyDescent="0.3">
      <c r="C555" s="31" t="s">
        <v>747</v>
      </c>
      <c r="D555" s="327">
        <v>0.8</v>
      </c>
      <c r="E555" s="327">
        <v>0</v>
      </c>
    </row>
    <row r="556" spans="3:5" hidden="1" x14ac:dyDescent="0.3">
      <c r="C556" s="31" t="s">
        <v>748</v>
      </c>
      <c r="D556" s="327">
        <v>0.8</v>
      </c>
      <c r="E556" s="327">
        <v>0</v>
      </c>
    </row>
    <row r="557" spans="3:5" hidden="1" x14ac:dyDescent="0.3">
      <c r="C557" s="31" t="s">
        <v>749</v>
      </c>
      <c r="D557" s="327">
        <v>0.6</v>
      </c>
      <c r="E557" s="327">
        <v>0</v>
      </c>
    </row>
    <row r="558" spans="3:5" hidden="1" x14ac:dyDescent="0.3">
      <c r="C558" s="31" t="s">
        <v>750</v>
      </c>
      <c r="D558" s="327">
        <v>0.3</v>
      </c>
      <c r="E558" s="327">
        <v>0</v>
      </c>
    </row>
    <row r="559" spans="3:5" hidden="1" x14ac:dyDescent="0.3">
      <c r="C559" s="31" t="s">
        <v>751</v>
      </c>
      <c r="D559" s="327">
        <v>0.2</v>
      </c>
      <c r="E559" s="327">
        <v>0</v>
      </c>
    </row>
    <row r="560" spans="3:5" hidden="1" x14ac:dyDescent="0.3">
      <c r="C560" s="31" t="s">
        <v>752</v>
      </c>
      <c r="D560" s="327">
        <v>0.8</v>
      </c>
      <c r="E560" s="327">
        <v>0</v>
      </c>
    </row>
    <row r="561" spans="3:5" hidden="1" x14ac:dyDescent="0.3">
      <c r="C561" s="31" t="s">
        <v>753</v>
      </c>
      <c r="D561" s="327">
        <v>1.3</v>
      </c>
      <c r="E561" s="327">
        <v>0</v>
      </c>
    </row>
    <row r="562" spans="3:5" hidden="1" x14ac:dyDescent="0.3">
      <c r="C562" s="31" t="s">
        <v>754</v>
      </c>
      <c r="D562" s="327">
        <v>0.3</v>
      </c>
      <c r="E562" s="327">
        <v>0</v>
      </c>
    </row>
    <row r="563" spans="3:5" hidden="1" x14ac:dyDescent="0.3">
      <c r="C563" s="31" t="s">
        <v>755</v>
      </c>
      <c r="D563" s="327">
        <v>0.7</v>
      </c>
      <c r="E563" s="327">
        <v>0</v>
      </c>
    </row>
    <row r="564" spans="3:5" hidden="1" x14ac:dyDescent="0.3">
      <c r="C564" s="31" t="s">
        <v>756</v>
      </c>
      <c r="D564" s="327">
        <v>1.3</v>
      </c>
      <c r="E564" s="327">
        <v>0</v>
      </c>
    </row>
    <row r="565" spans="3:5" hidden="1" x14ac:dyDescent="0.3">
      <c r="C565" s="31" t="s">
        <v>757</v>
      </c>
      <c r="D565" s="327">
        <v>2.4</v>
      </c>
      <c r="E565" s="327">
        <v>0</v>
      </c>
    </row>
    <row r="566" spans="3:5" hidden="1" x14ac:dyDescent="0.3">
      <c r="C566" s="31" t="s">
        <v>758</v>
      </c>
      <c r="D566" s="327">
        <v>0.4</v>
      </c>
      <c r="E566" s="327">
        <v>0</v>
      </c>
    </row>
    <row r="567" spans="3:5" hidden="1" x14ac:dyDescent="0.3">
      <c r="C567" s="31" t="s">
        <v>759</v>
      </c>
      <c r="D567" s="327">
        <v>2.2999999999999998</v>
      </c>
      <c r="E567" s="327">
        <v>0</v>
      </c>
    </row>
    <row r="568" spans="3:5" hidden="1" x14ac:dyDescent="0.3">
      <c r="C568" s="31" t="s">
        <v>760</v>
      </c>
      <c r="D568" s="327">
        <v>1.2</v>
      </c>
      <c r="E568" s="327">
        <v>0</v>
      </c>
    </row>
    <row r="569" spans="3:5" hidden="1" x14ac:dyDescent="0.3">
      <c r="C569" s="31" t="s">
        <v>761</v>
      </c>
      <c r="D569" s="327">
        <v>1.7</v>
      </c>
      <c r="E569" s="327">
        <v>0</v>
      </c>
    </row>
    <row r="570" spans="3:5" hidden="1" x14ac:dyDescent="0.3">
      <c r="C570" s="31" t="s">
        <v>762</v>
      </c>
      <c r="D570" s="327">
        <v>1.7</v>
      </c>
      <c r="E570" s="327">
        <v>0</v>
      </c>
    </row>
    <row r="571" spans="3:5" hidden="1" x14ac:dyDescent="0.3">
      <c r="C571" s="31" t="s">
        <v>763</v>
      </c>
      <c r="D571" s="327">
        <v>0.3</v>
      </c>
      <c r="E571" s="327">
        <v>0</v>
      </c>
    </row>
    <row r="572" spans="3:5" hidden="1" x14ac:dyDescent="0.3">
      <c r="C572" s="31" t="s">
        <v>764</v>
      </c>
      <c r="D572" s="327">
        <v>0.3</v>
      </c>
      <c r="E572" s="327">
        <v>0</v>
      </c>
    </row>
    <row r="573" spans="3:5" hidden="1" x14ac:dyDescent="0.3">
      <c r="C573" s="31" t="s">
        <v>765</v>
      </c>
      <c r="D573" s="327">
        <v>0.4</v>
      </c>
      <c r="E573" s="327">
        <v>0</v>
      </c>
    </row>
    <row r="574" spans="3:5" hidden="1" x14ac:dyDescent="0.3">
      <c r="C574" s="31" t="s">
        <v>766</v>
      </c>
      <c r="D574" s="327">
        <v>0.7</v>
      </c>
      <c r="E574" s="327">
        <v>0</v>
      </c>
    </row>
    <row r="575" spans="3:5" hidden="1" x14ac:dyDescent="0.3">
      <c r="C575" s="31" t="s">
        <v>767</v>
      </c>
      <c r="D575" s="327">
        <v>3.4</v>
      </c>
      <c r="E575" s="327">
        <v>0</v>
      </c>
    </row>
    <row r="576" spans="3:5" hidden="1" x14ac:dyDescent="0.3">
      <c r="C576" s="267" t="str">
        <f>IF(A502="","Platzhalter 1",A502)</f>
        <v>Platzhalter 1</v>
      </c>
      <c r="D576" s="375" t="str">
        <f>B502</f>
        <v xml:space="preserve"> </v>
      </c>
      <c r="E576" s="375" t="str">
        <f>C502</f>
        <v xml:space="preserve"> </v>
      </c>
    </row>
    <row r="577" spans="3:5" hidden="1" x14ac:dyDescent="0.3">
      <c r="C577" s="31" t="s">
        <v>768</v>
      </c>
      <c r="D577" s="327">
        <v>0.3</v>
      </c>
      <c r="E577" s="327">
        <v>0</v>
      </c>
    </row>
    <row r="578" spans="3:5" hidden="1" x14ac:dyDescent="0.3">
      <c r="C578" s="31" t="s">
        <v>769</v>
      </c>
      <c r="D578" s="327">
        <v>0.2</v>
      </c>
      <c r="E578" s="327">
        <v>0</v>
      </c>
    </row>
    <row r="579" spans="3:5" hidden="1" x14ac:dyDescent="0.3">
      <c r="C579" s="31" t="s">
        <v>1203</v>
      </c>
      <c r="D579" s="327">
        <v>0.3</v>
      </c>
      <c r="E579" s="327">
        <v>0</v>
      </c>
    </row>
    <row r="580" spans="3:5" hidden="1" x14ac:dyDescent="0.3">
      <c r="C580" s="31" t="s">
        <v>1204</v>
      </c>
      <c r="D580" s="327">
        <v>0.6</v>
      </c>
      <c r="E580" s="327">
        <v>0</v>
      </c>
    </row>
    <row r="581" spans="3:5" hidden="1" x14ac:dyDescent="0.3">
      <c r="C581" s="31" t="s">
        <v>1205</v>
      </c>
      <c r="D581" s="327">
        <v>1.2</v>
      </c>
      <c r="E581" s="327">
        <v>0</v>
      </c>
    </row>
    <row r="582" spans="3:5" hidden="1" x14ac:dyDescent="0.3">
      <c r="C582" s="31" t="s">
        <v>770</v>
      </c>
      <c r="D582" s="327">
        <v>0.3</v>
      </c>
      <c r="E582" s="327">
        <v>0</v>
      </c>
    </row>
    <row r="583" spans="3:5" hidden="1" x14ac:dyDescent="0.3">
      <c r="C583" s="31" t="s">
        <v>771</v>
      </c>
      <c r="D583" s="327">
        <v>0.9</v>
      </c>
      <c r="E583" s="327">
        <v>0</v>
      </c>
    </row>
    <row r="584" spans="3:5" hidden="1" x14ac:dyDescent="0.3">
      <c r="C584" s="31" t="s">
        <v>772</v>
      </c>
      <c r="D584" s="327">
        <v>0.1</v>
      </c>
      <c r="E584" s="327">
        <v>0</v>
      </c>
    </row>
    <row r="585" spans="3:5" hidden="1" x14ac:dyDescent="0.3">
      <c r="C585" s="31" t="s">
        <v>773</v>
      </c>
      <c r="D585" s="327">
        <v>0.2</v>
      </c>
      <c r="E585" s="327">
        <v>0</v>
      </c>
    </row>
    <row r="586" spans="3:5" hidden="1" x14ac:dyDescent="0.3">
      <c r="C586" s="31" t="s">
        <v>774</v>
      </c>
      <c r="D586" s="327">
        <v>0.2</v>
      </c>
      <c r="E586" s="327">
        <v>0</v>
      </c>
    </row>
    <row r="587" spans="3:5" hidden="1" x14ac:dyDescent="0.3">
      <c r="C587" s="31" t="s">
        <v>775</v>
      </c>
      <c r="D587" s="327">
        <v>0.9</v>
      </c>
      <c r="E587" s="327">
        <v>0</v>
      </c>
    </row>
    <row r="588" spans="3:5" hidden="1" x14ac:dyDescent="0.3">
      <c r="C588" s="31" t="s">
        <v>776</v>
      </c>
      <c r="D588" s="327">
        <v>1.3</v>
      </c>
      <c r="E588" s="327">
        <v>0</v>
      </c>
    </row>
    <row r="589" spans="3:5" hidden="1" x14ac:dyDescent="0.3">
      <c r="C589" s="31" t="s">
        <v>777</v>
      </c>
      <c r="D589" s="327">
        <v>0.2</v>
      </c>
      <c r="E589" s="327">
        <v>0</v>
      </c>
    </row>
    <row r="590" spans="3:5" hidden="1" x14ac:dyDescent="0.3">
      <c r="C590" s="31" t="s">
        <v>778</v>
      </c>
      <c r="D590" s="327">
        <v>0.2</v>
      </c>
      <c r="E590" s="327">
        <v>0</v>
      </c>
    </row>
    <row r="591" spans="3:5" hidden="1" x14ac:dyDescent="0.3">
      <c r="C591" s="31" t="s">
        <v>779</v>
      </c>
      <c r="D591" s="327">
        <v>0.2</v>
      </c>
      <c r="E591" s="327">
        <v>0</v>
      </c>
    </row>
    <row r="592" spans="3:5" hidden="1" x14ac:dyDescent="0.3">
      <c r="C592" s="31" t="s">
        <v>780</v>
      </c>
      <c r="D592" s="327">
        <v>1.4</v>
      </c>
      <c r="E592" s="327">
        <v>0</v>
      </c>
    </row>
    <row r="593" spans="3:5" hidden="1" x14ac:dyDescent="0.3">
      <c r="C593" s="31" t="s">
        <v>781</v>
      </c>
      <c r="D593" s="327">
        <v>1.2</v>
      </c>
      <c r="E593" s="327">
        <v>0</v>
      </c>
    </row>
    <row r="594" spans="3:5" hidden="1" x14ac:dyDescent="0.3">
      <c r="C594" s="31" t="s">
        <v>782</v>
      </c>
      <c r="D594" s="327">
        <v>1.7</v>
      </c>
      <c r="E594" s="327">
        <v>0</v>
      </c>
    </row>
    <row r="595" spans="3:5" hidden="1" x14ac:dyDescent="0.3">
      <c r="C595" s="31" t="s">
        <v>783</v>
      </c>
      <c r="D595" s="327">
        <v>1.7</v>
      </c>
      <c r="E595" s="327">
        <v>0</v>
      </c>
    </row>
    <row r="596" spans="3:5" hidden="1" x14ac:dyDescent="0.3">
      <c r="C596" s="31" t="s">
        <v>784</v>
      </c>
      <c r="D596" s="327">
        <v>1.2</v>
      </c>
      <c r="E596" s="327">
        <v>0</v>
      </c>
    </row>
    <row r="597" spans="3:5" hidden="1" x14ac:dyDescent="0.3">
      <c r="C597" s="31" t="s">
        <v>785</v>
      </c>
      <c r="D597" s="327">
        <v>0.3</v>
      </c>
      <c r="E597" s="327">
        <v>0</v>
      </c>
    </row>
    <row r="598" spans="3:5" hidden="1" x14ac:dyDescent="0.3">
      <c r="C598" s="31" t="s">
        <v>786</v>
      </c>
      <c r="D598" s="327">
        <v>0.6</v>
      </c>
      <c r="E598" s="327">
        <v>0</v>
      </c>
    </row>
    <row r="599" spans="3:5" hidden="1" x14ac:dyDescent="0.3">
      <c r="C599" s="31" t="s">
        <v>787</v>
      </c>
      <c r="D599" s="327">
        <v>0.2</v>
      </c>
      <c r="E599" s="327">
        <v>0</v>
      </c>
    </row>
    <row r="600" spans="3:5" hidden="1" x14ac:dyDescent="0.3">
      <c r="C600" s="31" t="s">
        <v>788</v>
      </c>
      <c r="D600" s="327">
        <v>1.6</v>
      </c>
      <c r="E600" s="327">
        <v>0</v>
      </c>
    </row>
    <row r="601" spans="3:5" hidden="1" x14ac:dyDescent="0.3">
      <c r="C601" s="31" t="s">
        <v>789</v>
      </c>
      <c r="D601" s="327">
        <v>0.2</v>
      </c>
      <c r="E601" s="327">
        <v>0</v>
      </c>
    </row>
    <row r="602" spans="3:5" hidden="1" x14ac:dyDescent="0.3">
      <c r="C602" s="31" t="s">
        <v>790</v>
      </c>
      <c r="D602" s="327">
        <v>0.3</v>
      </c>
      <c r="E602" s="327">
        <v>0</v>
      </c>
    </row>
    <row r="603" spans="3:5" hidden="1" x14ac:dyDescent="0.3">
      <c r="C603" s="31" t="s">
        <v>791</v>
      </c>
      <c r="D603" s="327">
        <v>0.6</v>
      </c>
      <c r="E603" s="327">
        <v>0</v>
      </c>
    </row>
    <row r="604" spans="3:5" hidden="1" x14ac:dyDescent="0.3">
      <c r="C604" s="31" t="s">
        <v>792</v>
      </c>
      <c r="D604" s="327">
        <v>0.2</v>
      </c>
      <c r="E604" s="327">
        <v>0</v>
      </c>
    </row>
    <row r="605" spans="3:5" hidden="1" x14ac:dyDescent="0.3">
      <c r="C605" s="31" t="s">
        <v>793</v>
      </c>
      <c r="D605" s="327">
        <v>1.3</v>
      </c>
      <c r="E605" s="327">
        <v>0</v>
      </c>
    </row>
    <row r="606" spans="3:5" hidden="1" x14ac:dyDescent="0.3">
      <c r="C606" s="31" t="s">
        <v>794</v>
      </c>
      <c r="D606" s="327">
        <v>0.2</v>
      </c>
      <c r="E606" s="327">
        <v>0</v>
      </c>
    </row>
    <row r="607" spans="3:5" hidden="1" x14ac:dyDescent="0.3">
      <c r="C607" s="31" t="s">
        <v>795</v>
      </c>
      <c r="D607" s="327">
        <v>0.7</v>
      </c>
      <c r="E607" s="327">
        <v>0</v>
      </c>
    </row>
    <row r="608" spans="3:5" hidden="1" x14ac:dyDescent="0.3">
      <c r="C608" s="31" t="s">
        <v>796</v>
      </c>
      <c r="D608" s="327">
        <v>0.3</v>
      </c>
      <c r="E608" s="327">
        <v>0</v>
      </c>
    </row>
    <row r="609" spans="3:5" hidden="1" x14ac:dyDescent="0.3">
      <c r="C609" s="267" t="str">
        <f>IF(D502="","Platzhalter 5",D502)</f>
        <v>Platzhalter 5</v>
      </c>
      <c r="D609" s="375" t="str">
        <f t="shared" ref="D609:E609" si="128">E502</f>
        <v xml:space="preserve"> </v>
      </c>
      <c r="E609" s="375" t="str">
        <f t="shared" si="128"/>
        <v xml:space="preserve"> </v>
      </c>
    </row>
    <row r="610" spans="3:5" hidden="1" x14ac:dyDescent="0.3">
      <c r="C610" s="31" t="s">
        <v>797</v>
      </c>
      <c r="D610" s="327">
        <v>0.4</v>
      </c>
      <c r="E610" s="327">
        <v>0</v>
      </c>
    </row>
    <row r="611" spans="3:5" hidden="1" x14ac:dyDescent="0.3">
      <c r="C611" s="31" t="s">
        <v>798</v>
      </c>
      <c r="D611" s="327">
        <v>0.4</v>
      </c>
      <c r="E611" s="327">
        <v>0</v>
      </c>
    </row>
    <row r="612" spans="3:5" hidden="1" x14ac:dyDescent="0.3">
      <c r="C612" s="31" t="s">
        <v>799</v>
      </c>
      <c r="D612" s="327">
        <v>0.4</v>
      </c>
      <c r="E612" s="327">
        <v>0</v>
      </c>
    </row>
    <row r="613" spans="3:5" hidden="1" x14ac:dyDescent="0.3">
      <c r="C613" s="31" t="s">
        <v>800</v>
      </c>
      <c r="D613" s="327">
        <v>0.4</v>
      </c>
      <c r="E613" s="327">
        <v>0</v>
      </c>
    </row>
    <row r="614" spans="3:5" hidden="1" x14ac:dyDescent="0.3">
      <c r="C614" s="31" t="s">
        <v>801</v>
      </c>
      <c r="D614" s="327">
        <v>0.4</v>
      </c>
      <c r="E614" s="327">
        <v>0</v>
      </c>
    </row>
    <row r="615" spans="3:5" hidden="1" x14ac:dyDescent="0.3">
      <c r="C615" s="31" t="s">
        <v>802</v>
      </c>
      <c r="D615" s="327">
        <v>0.2</v>
      </c>
      <c r="E615" s="327">
        <v>0</v>
      </c>
    </row>
    <row r="616" spans="3:5" hidden="1" x14ac:dyDescent="0.3">
      <c r="C616" s="31" t="s">
        <v>803</v>
      </c>
      <c r="D616" s="327">
        <v>0.7</v>
      </c>
      <c r="E616" s="327">
        <v>0</v>
      </c>
    </row>
    <row r="617" spans="3:5" hidden="1" x14ac:dyDescent="0.3">
      <c r="C617" s="31" t="s">
        <v>804</v>
      </c>
      <c r="D617" s="327">
        <v>0.2</v>
      </c>
      <c r="E617" s="327">
        <v>0</v>
      </c>
    </row>
    <row r="618" spans="3:5" hidden="1" x14ac:dyDescent="0.3">
      <c r="C618" s="31" t="s">
        <v>805</v>
      </c>
      <c r="D618" s="327">
        <v>0.6</v>
      </c>
      <c r="E618" s="327">
        <v>0</v>
      </c>
    </row>
    <row r="619" spans="3:5" hidden="1" x14ac:dyDescent="0.3">
      <c r="C619" s="31" t="s">
        <v>806</v>
      </c>
      <c r="D619" s="327">
        <v>0.8</v>
      </c>
      <c r="E619" s="327">
        <v>0</v>
      </c>
    </row>
    <row r="620" spans="3:5" hidden="1" x14ac:dyDescent="0.3">
      <c r="C620" s="31" t="s">
        <v>807</v>
      </c>
      <c r="D620" s="327">
        <v>0.3</v>
      </c>
      <c r="E620" s="327">
        <v>0</v>
      </c>
    </row>
    <row r="621" spans="3:5" hidden="1" x14ac:dyDescent="0.3">
      <c r="C621" s="31" t="s">
        <v>808</v>
      </c>
      <c r="D621" s="327">
        <v>0.4</v>
      </c>
      <c r="E621" s="327">
        <v>0</v>
      </c>
    </row>
    <row r="622" spans="3:5" hidden="1" x14ac:dyDescent="0.3">
      <c r="C622" s="31" t="s">
        <v>809</v>
      </c>
      <c r="D622" s="327">
        <v>1.1000000000000001</v>
      </c>
      <c r="E622" s="327">
        <v>0</v>
      </c>
    </row>
    <row r="623" spans="3:5" hidden="1" x14ac:dyDescent="0.3">
      <c r="C623" s="31" t="s">
        <v>810</v>
      </c>
      <c r="D623" s="327">
        <v>0.9</v>
      </c>
      <c r="E623" s="327">
        <v>0</v>
      </c>
    </row>
    <row r="624" spans="3:5" hidden="1" x14ac:dyDescent="0.3">
      <c r="C624" s="31" t="s">
        <v>916</v>
      </c>
      <c r="D624" s="327">
        <v>2.9</v>
      </c>
      <c r="E624" s="327">
        <v>0</v>
      </c>
    </row>
    <row r="625" spans="3:5" hidden="1" x14ac:dyDescent="0.3">
      <c r="C625" s="31" t="s">
        <v>811</v>
      </c>
      <c r="D625" s="327">
        <v>1.6</v>
      </c>
      <c r="E625" s="327">
        <v>0</v>
      </c>
    </row>
    <row r="626" spans="3:5" hidden="1" x14ac:dyDescent="0.3">
      <c r="C626" s="31" t="s">
        <v>812</v>
      </c>
      <c r="D626" s="327">
        <v>1.8</v>
      </c>
      <c r="E626" s="327">
        <v>0</v>
      </c>
    </row>
    <row r="627" spans="3:5" hidden="1" x14ac:dyDescent="0.3">
      <c r="C627" s="31" t="s">
        <v>813</v>
      </c>
      <c r="D627" s="327">
        <v>1.9</v>
      </c>
      <c r="E627" s="327">
        <v>0</v>
      </c>
    </row>
    <row r="628" spans="3:5" hidden="1" x14ac:dyDescent="0.3">
      <c r="C628" s="31" t="s">
        <v>814</v>
      </c>
      <c r="D628" s="327">
        <v>4.3</v>
      </c>
      <c r="E628" s="327">
        <v>0</v>
      </c>
    </row>
    <row r="629" spans="3:5" hidden="1" x14ac:dyDescent="0.3">
      <c r="C629" s="31" t="s">
        <v>815</v>
      </c>
      <c r="D629" s="327">
        <v>0.4</v>
      </c>
      <c r="E629" s="327">
        <v>0</v>
      </c>
    </row>
    <row r="630" spans="3:5" hidden="1" x14ac:dyDescent="0.3">
      <c r="C630" s="31" t="s">
        <v>816</v>
      </c>
      <c r="D630" s="327">
        <v>0.3</v>
      </c>
      <c r="E630" s="327">
        <v>0</v>
      </c>
    </row>
    <row r="631" spans="3:5" hidden="1" x14ac:dyDescent="0.3">
      <c r="C631" s="31" t="s">
        <v>817</v>
      </c>
      <c r="D631" s="327">
        <v>0.3</v>
      </c>
      <c r="E631" s="327">
        <v>0</v>
      </c>
    </row>
    <row r="632" spans="3:5" hidden="1" x14ac:dyDescent="0.3">
      <c r="C632" s="31" t="s">
        <v>818</v>
      </c>
      <c r="D632" s="327">
        <v>0.1</v>
      </c>
      <c r="E632" s="327">
        <v>0</v>
      </c>
    </row>
    <row r="633" spans="3:5" hidden="1" x14ac:dyDescent="0.3">
      <c r="C633" s="31" t="s">
        <v>819</v>
      </c>
      <c r="D633" s="327">
        <v>0.2</v>
      </c>
      <c r="E633" s="327">
        <v>0</v>
      </c>
    </row>
    <row r="634" spans="3:5" hidden="1" x14ac:dyDescent="0.3">
      <c r="C634" s="31" t="s">
        <v>820</v>
      </c>
      <c r="D634" s="327">
        <v>0.2</v>
      </c>
      <c r="E634" s="327">
        <v>0</v>
      </c>
    </row>
    <row r="635" spans="3:5" hidden="1" x14ac:dyDescent="0.3">
      <c r="C635" s="267" t="str">
        <f>IF(G495="","Platzhalter 6",G495)</f>
        <v>Platzhalter 6</v>
      </c>
      <c r="D635" s="375" t="str">
        <f t="shared" ref="D635:E642" si="129">H495</f>
        <v xml:space="preserve"> </v>
      </c>
      <c r="E635" s="375" t="str">
        <f t="shared" si="129"/>
        <v xml:space="preserve"> </v>
      </c>
    </row>
    <row r="636" spans="3:5" hidden="1" x14ac:dyDescent="0.3">
      <c r="C636" s="267" t="str">
        <f>IF(G496="","Platzhalter 7",G496)</f>
        <v>Platzhalter 7</v>
      </c>
      <c r="D636" s="375" t="str">
        <f t="shared" si="129"/>
        <v xml:space="preserve"> </v>
      </c>
      <c r="E636" s="375" t="str">
        <f t="shared" si="129"/>
        <v xml:space="preserve"> </v>
      </c>
    </row>
    <row r="637" spans="3:5" hidden="1" x14ac:dyDescent="0.3">
      <c r="C637" s="267" t="str">
        <f>IF(G497="","Platzhalter 8",G497)</f>
        <v>Platzhalter 8</v>
      </c>
      <c r="D637" s="375" t="str">
        <f t="shared" si="129"/>
        <v xml:space="preserve"> </v>
      </c>
      <c r="E637" s="375" t="str">
        <f t="shared" si="129"/>
        <v xml:space="preserve"> </v>
      </c>
    </row>
    <row r="638" spans="3:5" hidden="1" x14ac:dyDescent="0.3">
      <c r="C638" s="267" t="str">
        <f>IF(G498="","Platzhalter 9",G498)</f>
        <v>Platzhalter 9</v>
      </c>
      <c r="D638" s="375" t="str">
        <f t="shared" si="129"/>
        <v xml:space="preserve"> </v>
      </c>
      <c r="E638" s="375" t="str">
        <f t="shared" si="129"/>
        <v xml:space="preserve"> </v>
      </c>
    </row>
    <row r="639" spans="3:5" hidden="1" x14ac:dyDescent="0.3">
      <c r="C639" s="267" t="str">
        <f>IF(G499="","Platzhalter 10",G499)</f>
        <v>Platzhalter 10</v>
      </c>
      <c r="D639" s="375" t="str">
        <f t="shared" si="129"/>
        <v xml:space="preserve"> </v>
      </c>
      <c r="E639" s="375" t="str">
        <f t="shared" si="129"/>
        <v xml:space="preserve"> </v>
      </c>
    </row>
    <row r="640" spans="3:5" hidden="1" x14ac:dyDescent="0.3">
      <c r="C640" s="267" t="str">
        <f>IF(G500="","Platzhalter 11",G500)</f>
        <v>Platzhalter 11</v>
      </c>
      <c r="D640" s="375" t="str">
        <f t="shared" si="129"/>
        <v xml:space="preserve"> </v>
      </c>
      <c r="E640" s="375" t="str">
        <f t="shared" si="129"/>
        <v xml:space="preserve"> </v>
      </c>
    </row>
    <row r="641" spans="3:5" hidden="1" x14ac:dyDescent="0.3">
      <c r="C641" s="267" t="str">
        <f>IF(G501="","Platzhalter 12",G501)</f>
        <v>Platzhalter 12</v>
      </c>
      <c r="D641" s="375" t="str">
        <f t="shared" si="129"/>
        <v xml:space="preserve"> </v>
      </c>
      <c r="E641" s="375" t="str">
        <f t="shared" si="129"/>
        <v xml:space="preserve"> </v>
      </c>
    </row>
    <row r="642" spans="3:5" hidden="1" x14ac:dyDescent="0.3">
      <c r="C642" s="267" t="str">
        <f>IF(G502="","Platzhalter 13",G502)</f>
        <v>Platzhalter 13</v>
      </c>
      <c r="D642" s="375" t="str">
        <f t="shared" si="129"/>
        <v xml:space="preserve"> </v>
      </c>
      <c r="E642" s="375" t="str">
        <f t="shared" si="129"/>
        <v xml:space="preserve"> </v>
      </c>
    </row>
    <row r="643" spans="3:5" hidden="1" x14ac:dyDescent="0.3">
      <c r="C643" s="31" t="s">
        <v>321</v>
      </c>
      <c r="D643" s="327">
        <v>9</v>
      </c>
      <c r="E643" s="327">
        <v>1</v>
      </c>
    </row>
    <row r="644" spans="3:5" hidden="1" x14ac:dyDescent="0.3">
      <c r="C644" s="31" t="s">
        <v>822</v>
      </c>
      <c r="D644" s="327">
        <v>11.5</v>
      </c>
      <c r="E644" s="327">
        <v>1</v>
      </c>
    </row>
    <row r="645" spans="3:5" hidden="1" x14ac:dyDescent="0.3">
      <c r="C645" s="31" t="s">
        <v>823</v>
      </c>
      <c r="D645" s="327">
        <v>3</v>
      </c>
      <c r="E645" s="327">
        <v>1</v>
      </c>
    </row>
    <row r="646" spans="3:5" hidden="1" x14ac:dyDescent="0.3">
      <c r="C646" s="31" t="s">
        <v>824</v>
      </c>
      <c r="D646" s="327">
        <v>1.7</v>
      </c>
      <c r="E646" s="327">
        <v>1</v>
      </c>
    </row>
    <row r="647" spans="3:5" hidden="1" x14ac:dyDescent="0.3">
      <c r="C647" s="31" t="s">
        <v>825</v>
      </c>
      <c r="D647" s="327">
        <v>1.7</v>
      </c>
      <c r="E647" s="327">
        <v>1</v>
      </c>
    </row>
    <row r="648" spans="3:5" hidden="1" x14ac:dyDescent="0.3">
      <c r="C648" s="31" t="s">
        <v>826</v>
      </c>
      <c r="D648" s="327">
        <v>1.9</v>
      </c>
      <c r="E648" s="327">
        <v>1</v>
      </c>
    </row>
    <row r="649" spans="3:5" hidden="1" x14ac:dyDescent="0.3">
      <c r="C649" s="31" t="s">
        <v>827</v>
      </c>
      <c r="D649" s="327">
        <v>0.6</v>
      </c>
      <c r="E649" s="327">
        <v>0</v>
      </c>
    </row>
    <row r="650" spans="3:5" hidden="1" x14ac:dyDescent="0.3">
      <c r="C650" s="31" t="s">
        <v>828</v>
      </c>
      <c r="D650" s="327">
        <v>5.7</v>
      </c>
      <c r="E650" s="327">
        <v>1</v>
      </c>
    </row>
    <row r="651" spans="3:5" hidden="1" x14ac:dyDescent="0.3">
      <c r="C651" s="31" t="s">
        <v>829</v>
      </c>
      <c r="D651" s="327">
        <v>7.2</v>
      </c>
      <c r="E651" s="327">
        <v>1</v>
      </c>
    </row>
    <row r="652" spans="3:5" hidden="1" x14ac:dyDescent="0.3">
      <c r="C652" s="31" t="s">
        <v>830</v>
      </c>
      <c r="D652" s="327">
        <v>5.5</v>
      </c>
      <c r="E652" s="327">
        <v>1</v>
      </c>
    </row>
    <row r="653" spans="3:5" hidden="1" x14ac:dyDescent="0.3">
      <c r="C653" s="31" t="s">
        <v>831</v>
      </c>
      <c r="D653" s="327">
        <v>6.9</v>
      </c>
      <c r="E653" s="327">
        <v>1</v>
      </c>
    </row>
    <row r="654" spans="3:5" hidden="1" x14ac:dyDescent="0.3">
      <c r="C654" s="31" t="s">
        <v>832</v>
      </c>
      <c r="D654" s="327">
        <v>7</v>
      </c>
      <c r="E654" s="327">
        <v>1</v>
      </c>
    </row>
    <row r="655" spans="3:5" hidden="1" x14ac:dyDescent="0.3">
      <c r="C655" s="31" t="s">
        <v>833</v>
      </c>
      <c r="D655" s="327">
        <v>6</v>
      </c>
      <c r="E655" s="327">
        <v>1</v>
      </c>
    </row>
    <row r="656" spans="3:5" hidden="1" x14ac:dyDescent="0.3">
      <c r="C656" s="31" t="s">
        <v>834</v>
      </c>
      <c r="D656" s="327">
        <v>6.3</v>
      </c>
      <c r="E656" s="327">
        <v>1</v>
      </c>
    </row>
    <row r="657" spans="3:5" hidden="1" x14ac:dyDescent="0.3">
      <c r="C657" s="31" t="s">
        <v>835</v>
      </c>
      <c r="D657" s="327">
        <v>2</v>
      </c>
      <c r="E657" s="327">
        <v>0</v>
      </c>
    </row>
    <row r="658" spans="3:5" hidden="1" x14ac:dyDescent="0.3">
      <c r="C658" s="31" t="s">
        <v>836</v>
      </c>
      <c r="D658" s="327">
        <v>1.4</v>
      </c>
      <c r="E658" s="327">
        <v>1</v>
      </c>
    </row>
    <row r="659" spans="3:5" hidden="1" x14ac:dyDescent="0.3">
      <c r="C659" s="31" t="s">
        <v>837</v>
      </c>
      <c r="D659" s="327">
        <v>1.2</v>
      </c>
      <c r="E659" s="327">
        <v>1</v>
      </c>
    </row>
    <row r="660" spans="3:5" hidden="1" x14ac:dyDescent="0.3">
      <c r="C660" s="31" t="s">
        <v>838</v>
      </c>
      <c r="D660" s="327">
        <v>1.3</v>
      </c>
      <c r="E660" s="327">
        <v>1</v>
      </c>
    </row>
    <row r="661" spans="3:5" hidden="1" x14ac:dyDescent="0.3">
      <c r="C661" s="31" t="s">
        <v>839</v>
      </c>
      <c r="D661" s="327">
        <v>1.1000000000000001</v>
      </c>
      <c r="E661" s="327">
        <v>1</v>
      </c>
    </row>
    <row r="662" spans="3:5" hidden="1" x14ac:dyDescent="0.3">
      <c r="C662" s="31" t="s">
        <v>840</v>
      </c>
      <c r="D662" s="327">
        <v>1.7</v>
      </c>
      <c r="E662" s="327">
        <v>1</v>
      </c>
    </row>
    <row r="663" spans="3:5" hidden="1" x14ac:dyDescent="0.3">
      <c r="C663" s="31" t="s">
        <v>841</v>
      </c>
      <c r="D663" s="327">
        <v>0.3</v>
      </c>
      <c r="E663" s="327">
        <v>0</v>
      </c>
    </row>
    <row r="664" spans="3:5" hidden="1" x14ac:dyDescent="0.3">
      <c r="C664" s="31" t="s">
        <v>842</v>
      </c>
      <c r="D664" s="327">
        <v>0.3</v>
      </c>
      <c r="E664" s="327">
        <v>0</v>
      </c>
    </row>
    <row r="665" spans="3:5" hidden="1" x14ac:dyDescent="0.3">
      <c r="C665" s="31" t="s">
        <v>843</v>
      </c>
      <c r="D665" s="327">
        <v>0.3</v>
      </c>
      <c r="E665" s="327">
        <v>0</v>
      </c>
    </row>
    <row r="666" spans="3:5" hidden="1" x14ac:dyDescent="0.3">
      <c r="C666" s="31" t="s">
        <v>844</v>
      </c>
      <c r="D666" s="327">
        <v>0.4</v>
      </c>
      <c r="E666" s="327">
        <v>0</v>
      </c>
    </row>
    <row r="667" spans="3:5" hidden="1" x14ac:dyDescent="0.3">
      <c r="C667" s="31" t="s">
        <v>845</v>
      </c>
      <c r="D667" s="327">
        <v>3.3</v>
      </c>
      <c r="E667" s="327">
        <v>1</v>
      </c>
    </row>
    <row r="668" spans="3:5" hidden="1" x14ac:dyDescent="0.3">
      <c r="C668" s="31" t="s">
        <v>846</v>
      </c>
      <c r="D668" s="327">
        <v>4.0999999999999996</v>
      </c>
      <c r="E668" s="327">
        <v>1</v>
      </c>
    </row>
    <row r="669" spans="3:5" hidden="1" x14ac:dyDescent="0.3">
      <c r="C669" s="31" t="s">
        <v>847</v>
      </c>
      <c r="D669" s="327">
        <v>2.4</v>
      </c>
      <c r="E669" s="327">
        <v>1</v>
      </c>
    </row>
    <row r="670" spans="3:5" hidden="1" x14ac:dyDescent="0.3">
      <c r="C670" s="31" t="s">
        <v>848</v>
      </c>
      <c r="D670" s="327">
        <v>0.7</v>
      </c>
      <c r="E670" s="327">
        <v>0</v>
      </c>
    </row>
    <row r="671" spans="3:5" hidden="1" x14ac:dyDescent="0.3">
      <c r="C671" s="31" t="s">
        <v>322</v>
      </c>
      <c r="D671" s="327">
        <v>4.2</v>
      </c>
      <c r="E671" s="327">
        <v>1</v>
      </c>
    </row>
    <row r="672" spans="3:5" hidden="1" x14ac:dyDescent="0.3">
      <c r="C672" s="31" t="s">
        <v>849</v>
      </c>
      <c r="D672" s="327">
        <v>5.3</v>
      </c>
      <c r="E672" s="327">
        <v>1</v>
      </c>
    </row>
    <row r="673" spans="3:5" hidden="1" x14ac:dyDescent="0.3">
      <c r="C673" s="31" t="s">
        <v>850</v>
      </c>
      <c r="D673" s="327">
        <v>0.6</v>
      </c>
      <c r="E673" s="327">
        <v>0</v>
      </c>
    </row>
    <row r="674" spans="3:5" hidden="1" x14ac:dyDescent="0.3">
      <c r="C674" s="31" t="s">
        <v>851</v>
      </c>
      <c r="D674" s="327">
        <v>3</v>
      </c>
      <c r="E674" s="327">
        <v>1</v>
      </c>
    </row>
    <row r="675" spans="3:5" hidden="1" x14ac:dyDescent="0.3">
      <c r="C675" s="267" t="str">
        <f>IF(J502="","Platzhalter 14",J502)</f>
        <v>Platzhalter 14</v>
      </c>
      <c r="D675" s="375" t="str">
        <f>K502</f>
        <v xml:space="preserve"> </v>
      </c>
      <c r="E675" s="375" t="str">
        <f>L502</f>
        <v xml:space="preserve"> </v>
      </c>
    </row>
    <row r="676" spans="3:5" hidden="1" x14ac:dyDescent="0.3">
      <c r="C676" s="352" t="s">
        <v>853</v>
      </c>
      <c r="D676" s="327">
        <v>1.1000000000000001</v>
      </c>
      <c r="E676" s="327">
        <v>0</v>
      </c>
    </row>
    <row r="677" spans="3:5" hidden="1" x14ac:dyDescent="0.3">
      <c r="C677" s="31" t="s">
        <v>854</v>
      </c>
      <c r="D677" s="327">
        <v>1.8</v>
      </c>
      <c r="E677" s="327">
        <v>0</v>
      </c>
    </row>
    <row r="678" spans="3:5" hidden="1" x14ac:dyDescent="0.3">
      <c r="C678" s="31" t="s">
        <v>855</v>
      </c>
      <c r="D678" s="327">
        <v>2.4</v>
      </c>
      <c r="E678" s="327">
        <v>10</v>
      </c>
    </row>
    <row r="679" spans="3:5" hidden="1" x14ac:dyDescent="0.3">
      <c r="C679" s="31" t="s">
        <v>856</v>
      </c>
      <c r="D679" s="327">
        <v>10</v>
      </c>
      <c r="E679" s="327">
        <v>10</v>
      </c>
    </row>
    <row r="680" spans="3:5" hidden="1" x14ac:dyDescent="0.3">
      <c r="C680" s="31" t="s">
        <v>857</v>
      </c>
      <c r="D680" s="327">
        <v>5.0999999999999996</v>
      </c>
      <c r="E680" s="327">
        <v>10</v>
      </c>
    </row>
    <row r="681" spans="3:5" hidden="1" x14ac:dyDescent="0.3">
      <c r="C681" s="31" t="s">
        <v>858</v>
      </c>
      <c r="D681" s="327">
        <v>12.5</v>
      </c>
      <c r="E681" s="327">
        <v>10</v>
      </c>
    </row>
    <row r="682" spans="3:5" hidden="1" x14ac:dyDescent="0.3">
      <c r="C682" s="31" t="s">
        <v>859</v>
      </c>
      <c r="D682" s="327">
        <v>4</v>
      </c>
      <c r="E682" s="327">
        <v>10</v>
      </c>
    </row>
    <row r="683" spans="3:5" hidden="1" x14ac:dyDescent="0.3">
      <c r="C683" s="352" t="s">
        <v>860</v>
      </c>
      <c r="D683" s="327">
        <v>1.3</v>
      </c>
      <c r="E683" s="327">
        <v>0</v>
      </c>
    </row>
    <row r="684" spans="3:5" hidden="1" x14ac:dyDescent="0.3">
      <c r="C684" s="31" t="s">
        <v>861</v>
      </c>
      <c r="D684" s="327">
        <v>5.5</v>
      </c>
      <c r="E684" s="327">
        <v>10</v>
      </c>
    </row>
    <row r="685" spans="3:5" hidden="1" x14ac:dyDescent="0.3">
      <c r="C685" s="31" t="s">
        <v>862</v>
      </c>
      <c r="D685" s="327">
        <v>5.7</v>
      </c>
      <c r="E685" s="327">
        <v>10</v>
      </c>
    </row>
    <row r="686" spans="3:5" hidden="1" x14ac:dyDescent="0.3">
      <c r="C686" s="31" t="s">
        <v>863</v>
      </c>
      <c r="D686" s="327">
        <v>3.3</v>
      </c>
      <c r="E686" s="327">
        <v>10</v>
      </c>
    </row>
    <row r="687" spans="3:5" hidden="1" x14ac:dyDescent="0.3">
      <c r="C687" s="31" t="s">
        <v>864</v>
      </c>
      <c r="D687" s="327">
        <v>2.9</v>
      </c>
      <c r="E687" s="327">
        <v>10</v>
      </c>
    </row>
    <row r="688" spans="3:5" hidden="1" x14ac:dyDescent="0.3">
      <c r="C688" s="31" t="s">
        <v>865</v>
      </c>
      <c r="D688" s="327">
        <v>0.4</v>
      </c>
      <c r="E688" s="327">
        <v>0</v>
      </c>
    </row>
    <row r="689" spans="3:5" hidden="1" x14ac:dyDescent="0.3">
      <c r="C689" s="31" t="s">
        <v>945</v>
      </c>
      <c r="D689" s="327">
        <v>13.6</v>
      </c>
      <c r="E689" s="327">
        <v>10</v>
      </c>
    </row>
    <row r="690" spans="3:5" hidden="1" x14ac:dyDescent="0.3">
      <c r="C690" s="31" t="s">
        <v>946</v>
      </c>
      <c r="D690" s="327">
        <v>21.7</v>
      </c>
      <c r="E690" s="327">
        <v>10</v>
      </c>
    </row>
    <row r="691" spans="3:5" hidden="1" x14ac:dyDescent="0.3">
      <c r="C691" s="352" t="s">
        <v>947</v>
      </c>
      <c r="D691" s="327">
        <v>9.1999999999999993</v>
      </c>
      <c r="E691" s="327">
        <v>10</v>
      </c>
    </row>
    <row r="692" spans="3:5" hidden="1" x14ac:dyDescent="0.3">
      <c r="C692" s="352" t="s">
        <v>948</v>
      </c>
      <c r="D692" s="327">
        <v>15.1</v>
      </c>
      <c r="E692" s="327">
        <v>10</v>
      </c>
    </row>
    <row r="693" spans="3:5" hidden="1" x14ac:dyDescent="0.3">
      <c r="C693" s="31" t="s">
        <v>866</v>
      </c>
      <c r="D693" s="327">
        <v>9</v>
      </c>
      <c r="E693" s="327">
        <v>10</v>
      </c>
    </row>
    <row r="694" spans="3:5" hidden="1" x14ac:dyDescent="0.3">
      <c r="C694" s="31" t="s">
        <v>867</v>
      </c>
      <c r="D694" s="327">
        <v>4.5999999999999996</v>
      </c>
      <c r="E694" s="327">
        <v>10</v>
      </c>
    </row>
    <row r="695" spans="3:5" hidden="1" x14ac:dyDescent="0.3">
      <c r="C695" s="31" t="s">
        <v>868</v>
      </c>
      <c r="D695" s="327">
        <v>5.2</v>
      </c>
      <c r="E695" s="327">
        <v>10</v>
      </c>
    </row>
    <row r="696" spans="3:5" hidden="1" x14ac:dyDescent="0.3">
      <c r="C696" s="31" t="s">
        <v>869</v>
      </c>
      <c r="D696" s="327">
        <v>4.5999999999999996</v>
      </c>
      <c r="E696" s="327">
        <v>10</v>
      </c>
    </row>
    <row r="697" spans="3:5" hidden="1" x14ac:dyDescent="0.3">
      <c r="C697" s="31" t="s">
        <v>870</v>
      </c>
      <c r="D697" s="327">
        <v>2.5</v>
      </c>
      <c r="E697" s="327">
        <v>0</v>
      </c>
    </row>
    <row r="698" spans="3:5" hidden="1" x14ac:dyDescent="0.3">
      <c r="C698" s="31" t="s">
        <v>871</v>
      </c>
      <c r="D698" s="327">
        <v>1</v>
      </c>
      <c r="E698" s="327">
        <v>0</v>
      </c>
    </row>
    <row r="699" spans="3:5" hidden="1" x14ac:dyDescent="0.3">
      <c r="C699" s="31" t="s">
        <v>872</v>
      </c>
      <c r="D699" s="327">
        <v>0.7</v>
      </c>
      <c r="E699" s="327">
        <v>0</v>
      </c>
    </row>
    <row r="700" spans="3:5" hidden="1" x14ac:dyDescent="0.3">
      <c r="C700" s="31" t="s">
        <v>873</v>
      </c>
      <c r="D700" s="327">
        <v>1</v>
      </c>
      <c r="E700" s="327">
        <v>0</v>
      </c>
    </row>
    <row r="701" spans="3:5" hidden="1" x14ac:dyDescent="0.3">
      <c r="C701" s="31" t="s">
        <v>944</v>
      </c>
      <c r="D701" s="327">
        <v>11.5</v>
      </c>
      <c r="E701" s="327">
        <v>10</v>
      </c>
    </row>
    <row r="702" spans="3:5" hidden="1" x14ac:dyDescent="0.3">
      <c r="C702" s="31" t="s">
        <v>874</v>
      </c>
      <c r="D702" s="327">
        <v>2.9</v>
      </c>
      <c r="E702" s="327">
        <v>10</v>
      </c>
    </row>
    <row r="703" spans="3:5" hidden="1" x14ac:dyDescent="0.3">
      <c r="C703" s="31" t="s">
        <v>875</v>
      </c>
      <c r="D703" s="327">
        <v>1.7</v>
      </c>
      <c r="E703" s="327">
        <v>0</v>
      </c>
    </row>
    <row r="704" spans="3:5" hidden="1" x14ac:dyDescent="0.3">
      <c r="C704" s="31" t="s">
        <v>876</v>
      </c>
      <c r="D704" s="327">
        <v>7.9</v>
      </c>
      <c r="E704" s="327">
        <v>10</v>
      </c>
    </row>
    <row r="705" spans="3:5" hidden="1" x14ac:dyDescent="0.3">
      <c r="C705" s="267" t="str">
        <f>IF(M499="","Platzhalter 15",M499)</f>
        <v>Platzhalter 15</v>
      </c>
      <c r="D705" s="375" t="str">
        <f t="shared" ref="D705:E708" si="130">N499</f>
        <v xml:space="preserve"> </v>
      </c>
      <c r="E705" s="375" t="str">
        <f t="shared" si="130"/>
        <v xml:space="preserve"> </v>
      </c>
    </row>
    <row r="706" spans="3:5" hidden="1" x14ac:dyDescent="0.3">
      <c r="C706" s="267" t="str">
        <f>IF(M500="","Platzhalter 16",M500)</f>
        <v>Platzhalter 16</v>
      </c>
      <c r="D706" s="375" t="str">
        <f t="shared" si="130"/>
        <v xml:space="preserve"> </v>
      </c>
      <c r="E706" s="375" t="str">
        <f t="shared" si="130"/>
        <v xml:space="preserve"> </v>
      </c>
    </row>
    <row r="707" spans="3:5" hidden="1" x14ac:dyDescent="0.3">
      <c r="C707" s="267" t="str">
        <f>IF(M501="","Platzhalter 17",M501)</f>
        <v>Platzhalter 17</v>
      </c>
      <c r="D707" s="375" t="str">
        <f t="shared" si="130"/>
        <v xml:space="preserve"> </v>
      </c>
      <c r="E707" s="375" t="str">
        <f t="shared" si="130"/>
        <v xml:space="preserve"> </v>
      </c>
    </row>
    <row r="708" spans="3:5" hidden="1" x14ac:dyDescent="0.3">
      <c r="C708" s="267" t="str">
        <f>IF(M502="","Platzhalter 18",M502)</f>
        <v>Platzhalter 18</v>
      </c>
      <c r="D708" s="375" t="str">
        <f t="shared" si="130"/>
        <v xml:space="preserve"> </v>
      </c>
      <c r="E708" s="375" t="str">
        <f t="shared" si="130"/>
        <v xml:space="preserve"> </v>
      </c>
    </row>
    <row r="709" spans="3:5" hidden="1" x14ac:dyDescent="0.3">
      <c r="C709" s="31" t="s">
        <v>877</v>
      </c>
      <c r="D709" s="327">
        <v>0.6</v>
      </c>
      <c r="E709" s="327">
        <v>1</v>
      </c>
    </row>
    <row r="710" spans="3:5" hidden="1" x14ac:dyDescent="0.3">
      <c r="C710" s="31" t="s">
        <v>878</v>
      </c>
      <c r="D710" s="327">
        <v>0.6</v>
      </c>
      <c r="E710" s="327">
        <v>1</v>
      </c>
    </row>
    <row r="711" spans="3:5" hidden="1" x14ac:dyDescent="0.3">
      <c r="C711" s="31" t="s">
        <v>319</v>
      </c>
      <c r="D711" s="327">
        <v>0.7</v>
      </c>
      <c r="E711" s="327">
        <v>1</v>
      </c>
    </row>
    <row r="712" spans="3:5" hidden="1" x14ac:dyDescent="0.3">
      <c r="C712" s="31" t="s">
        <v>879</v>
      </c>
      <c r="D712" s="327">
        <v>0.6</v>
      </c>
      <c r="E712" s="327">
        <v>0</v>
      </c>
    </row>
    <row r="713" spans="3:5" hidden="1" x14ac:dyDescent="0.3">
      <c r="C713" s="31" t="s">
        <v>880</v>
      </c>
      <c r="D713" s="327">
        <v>0.7</v>
      </c>
      <c r="E713" s="327">
        <v>0</v>
      </c>
    </row>
    <row r="714" spans="3:5" hidden="1" x14ac:dyDescent="0.3">
      <c r="C714" s="31" t="s">
        <v>881</v>
      </c>
      <c r="D714" s="327">
        <v>0.8</v>
      </c>
      <c r="E714" s="327">
        <v>0</v>
      </c>
    </row>
    <row r="715" spans="3:5" hidden="1" x14ac:dyDescent="0.3">
      <c r="C715" s="31" t="s">
        <v>882</v>
      </c>
      <c r="D715" s="327">
        <v>2</v>
      </c>
      <c r="E715" s="327">
        <v>0</v>
      </c>
    </row>
    <row r="716" spans="3:5" hidden="1" x14ac:dyDescent="0.3">
      <c r="C716" s="31" t="s">
        <v>320</v>
      </c>
      <c r="D716" s="327">
        <v>1.6</v>
      </c>
      <c r="E716" s="327">
        <v>1</v>
      </c>
    </row>
    <row r="717" spans="3:5" hidden="1" x14ac:dyDescent="0.3">
      <c r="C717" s="352" t="s">
        <v>883</v>
      </c>
      <c r="D717" s="327">
        <v>0.6</v>
      </c>
      <c r="E717" s="327">
        <v>1</v>
      </c>
    </row>
    <row r="718" spans="3:5" hidden="1" x14ac:dyDescent="0.3">
      <c r="C718" s="31" t="s">
        <v>884</v>
      </c>
      <c r="D718" s="327">
        <v>0.6</v>
      </c>
      <c r="E718" s="327">
        <v>0</v>
      </c>
    </row>
    <row r="719" spans="3:5" hidden="1" x14ac:dyDescent="0.3">
      <c r="C719" s="352" t="s">
        <v>885</v>
      </c>
      <c r="D719" s="327">
        <v>2</v>
      </c>
      <c r="E719" s="327">
        <v>1</v>
      </c>
    </row>
    <row r="720" spans="3:5" hidden="1" x14ac:dyDescent="0.3">
      <c r="C720" s="31" t="s">
        <v>886</v>
      </c>
      <c r="D720" s="327">
        <v>2.2999999999999998</v>
      </c>
      <c r="E720" s="327">
        <v>0</v>
      </c>
    </row>
    <row r="721" spans="3:5" hidden="1" x14ac:dyDescent="0.3">
      <c r="C721" s="31" t="s">
        <v>887</v>
      </c>
      <c r="D721" s="327">
        <v>1.7</v>
      </c>
      <c r="E721" s="327">
        <v>0</v>
      </c>
    </row>
    <row r="722" spans="3:5" hidden="1" x14ac:dyDescent="0.3">
      <c r="C722" s="31" t="s">
        <v>888</v>
      </c>
      <c r="D722" s="327">
        <v>2.8</v>
      </c>
      <c r="E722" s="327">
        <v>0</v>
      </c>
    </row>
    <row r="723" spans="3:5" hidden="1" x14ac:dyDescent="0.3">
      <c r="C723" s="31" t="s">
        <v>889</v>
      </c>
      <c r="D723" s="327">
        <v>2.5</v>
      </c>
      <c r="E723" s="327">
        <v>0</v>
      </c>
    </row>
    <row r="724" spans="3:5" hidden="1" x14ac:dyDescent="0.3">
      <c r="C724" s="31" t="s">
        <v>1206</v>
      </c>
      <c r="D724" s="327">
        <v>0.4</v>
      </c>
      <c r="E724" s="327">
        <v>0</v>
      </c>
    </row>
    <row r="725" spans="3:5" hidden="1" x14ac:dyDescent="0.3">
      <c r="C725" s="31" t="s">
        <v>890</v>
      </c>
      <c r="D725" s="327">
        <v>0.7</v>
      </c>
      <c r="E725" s="327">
        <v>1</v>
      </c>
    </row>
    <row r="726" spans="3:5" hidden="1" x14ac:dyDescent="0.3">
      <c r="C726" s="31" t="s">
        <v>891</v>
      </c>
      <c r="D726" s="327">
        <v>0.8</v>
      </c>
      <c r="E726" s="327">
        <v>1</v>
      </c>
    </row>
    <row r="727" spans="3:5" hidden="1" x14ac:dyDescent="0.3">
      <c r="C727" s="31" t="s">
        <v>892</v>
      </c>
      <c r="D727" s="327">
        <v>3.2</v>
      </c>
      <c r="E727" s="327">
        <v>0</v>
      </c>
    </row>
    <row r="728" spans="3:5" hidden="1" x14ac:dyDescent="0.3">
      <c r="C728" s="31" t="s">
        <v>949</v>
      </c>
      <c r="D728" s="327">
        <v>2.9</v>
      </c>
      <c r="E728" s="327">
        <v>0</v>
      </c>
    </row>
    <row r="729" spans="3:5" hidden="1" x14ac:dyDescent="0.3">
      <c r="C729" s="31" t="s">
        <v>893</v>
      </c>
      <c r="D729" s="327">
        <v>0.7</v>
      </c>
      <c r="E729" s="327">
        <v>1</v>
      </c>
    </row>
    <row r="730" spans="3:5" hidden="1" x14ac:dyDescent="0.3">
      <c r="C730" s="31" t="s">
        <v>894</v>
      </c>
      <c r="D730" s="327">
        <v>3.3</v>
      </c>
      <c r="E730" s="327">
        <v>0</v>
      </c>
    </row>
    <row r="731" spans="3:5" hidden="1" x14ac:dyDescent="0.3">
      <c r="C731" s="31" t="s">
        <v>401</v>
      </c>
      <c r="D731" s="327">
        <v>3.1</v>
      </c>
      <c r="E731" s="327">
        <v>0</v>
      </c>
    </row>
    <row r="732" spans="3:5" hidden="1" x14ac:dyDescent="0.3">
      <c r="C732" s="31" t="s">
        <v>895</v>
      </c>
      <c r="D732" s="327">
        <v>4.0999999999999996</v>
      </c>
      <c r="E732" s="327">
        <v>1</v>
      </c>
    </row>
    <row r="733" spans="3:5" hidden="1" x14ac:dyDescent="0.3">
      <c r="C733" s="31" t="s">
        <v>896</v>
      </c>
      <c r="D733" s="327">
        <v>1.5</v>
      </c>
      <c r="E733" s="327">
        <v>0</v>
      </c>
    </row>
    <row r="734" spans="3:5" hidden="1" x14ac:dyDescent="0.3">
      <c r="C734" s="31" t="s">
        <v>897</v>
      </c>
      <c r="D734" s="327">
        <v>3.2</v>
      </c>
      <c r="E734" s="327">
        <v>1</v>
      </c>
    </row>
    <row r="735" spans="3:5" hidden="1" x14ac:dyDescent="0.3">
      <c r="C735" s="31" t="s">
        <v>898</v>
      </c>
      <c r="D735" s="327">
        <v>0.9</v>
      </c>
      <c r="E735" s="327">
        <v>0</v>
      </c>
    </row>
    <row r="736" spans="3:5" hidden="1" x14ac:dyDescent="0.3">
      <c r="C736" s="31" t="s">
        <v>899</v>
      </c>
      <c r="D736" s="327">
        <v>0.7</v>
      </c>
      <c r="E736" s="327">
        <v>0</v>
      </c>
    </row>
    <row r="737" spans="3:5" hidden="1" x14ac:dyDescent="0.3">
      <c r="C737" s="31" t="s">
        <v>900</v>
      </c>
      <c r="D737" s="327">
        <v>0.5</v>
      </c>
      <c r="E737" s="327">
        <v>0</v>
      </c>
    </row>
    <row r="738" spans="3:5" hidden="1" x14ac:dyDescent="0.3">
      <c r="C738" s="31" t="s">
        <v>901</v>
      </c>
      <c r="D738" s="327">
        <v>1</v>
      </c>
      <c r="E738" s="327">
        <v>0</v>
      </c>
    </row>
    <row r="739" spans="3:5" hidden="1" x14ac:dyDescent="0.3">
      <c r="C739" s="31" t="s">
        <v>902</v>
      </c>
      <c r="D739" s="327">
        <v>0.9</v>
      </c>
      <c r="E739" s="327">
        <v>0</v>
      </c>
    </row>
    <row r="740" spans="3:5" hidden="1" x14ac:dyDescent="0.3">
      <c r="C740" s="267" t="str">
        <f>IF(P501="","Platzhalter 20",P501)</f>
        <v>Platzhalter 20</v>
      </c>
      <c r="D740" s="375" t="str">
        <f t="shared" ref="D740:E741" si="131">Q501</f>
        <v xml:space="preserve"> </v>
      </c>
      <c r="E740" s="375" t="str">
        <f t="shared" si="131"/>
        <v xml:space="preserve"> </v>
      </c>
    </row>
    <row r="741" spans="3:5" hidden="1" x14ac:dyDescent="0.3">
      <c r="C741" s="267" t="str">
        <f>IF(P502="","Platzhalter 21",P502)</f>
        <v>Platzhalter 21</v>
      </c>
      <c r="D741" s="375" t="str">
        <f t="shared" si="131"/>
        <v xml:space="preserve"> </v>
      </c>
      <c r="E741" s="375" t="str">
        <f t="shared" si="131"/>
        <v xml:space="preserve"> </v>
      </c>
    </row>
    <row r="742" spans="3:5" hidden="1" x14ac:dyDescent="0.3">
      <c r="C742" s="31" t="s">
        <v>903</v>
      </c>
      <c r="D742" s="327">
        <v>5.6</v>
      </c>
      <c r="E742" s="327">
        <v>0</v>
      </c>
    </row>
    <row r="743" spans="3:5" hidden="1" x14ac:dyDescent="0.3">
      <c r="C743" s="31" t="s">
        <v>904</v>
      </c>
      <c r="D743" s="327">
        <v>5</v>
      </c>
      <c r="E743" s="327">
        <v>0</v>
      </c>
    </row>
    <row r="744" spans="3:5" hidden="1" x14ac:dyDescent="0.3">
      <c r="C744" s="31" t="s">
        <v>905</v>
      </c>
      <c r="D744" s="327">
        <v>0.4</v>
      </c>
      <c r="E744" s="327">
        <v>0</v>
      </c>
    </row>
    <row r="745" spans="3:5" hidden="1" x14ac:dyDescent="0.3">
      <c r="C745" s="31" t="s">
        <v>906</v>
      </c>
      <c r="D745" s="327">
        <v>0.2</v>
      </c>
      <c r="E745" s="327">
        <v>0</v>
      </c>
    </row>
    <row r="746" spans="3:5" hidden="1" x14ac:dyDescent="0.3">
      <c r="C746" s="31" t="s">
        <v>907</v>
      </c>
      <c r="D746" s="327">
        <v>0.7</v>
      </c>
      <c r="E746" s="327">
        <v>0</v>
      </c>
    </row>
    <row r="747" spans="3:5" hidden="1" x14ac:dyDescent="0.3">
      <c r="C747" s="31" t="s">
        <v>908</v>
      </c>
      <c r="D747" s="327">
        <v>0.4</v>
      </c>
      <c r="E747" s="327">
        <v>0</v>
      </c>
    </row>
    <row r="748" spans="3:5" hidden="1" x14ac:dyDescent="0.3">
      <c r="C748" s="31" t="s">
        <v>909</v>
      </c>
      <c r="D748" s="327">
        <v>0.4</v>
      </c>
      <c r="E748" s="327">
        <v>0</v>
      </c>
    </row>
    <row r="749" spans="3:5" hidden="1" x14ac:dyDescent="0.3">
      <c r="C749" s="31" t="s">
        <v>910</v>
      </c>
      <c r="D749" s="327">
        <v>0</v>
      </c>
      <c r="E749" s="327">
        <v>0</v>
      </c>
    </row>
    <row r="750" spans="3:5" hidden="1" x14ac:dyDescent="0.3">
      <c r="C750" s="267" t="str">
        <f>IF(S478="","Platzhalter 22",S478)</f>
        <v>Milch</v>
      </c>
      <c r="D750" s="375">
        <f t="shared" ref="D750:D774" si="132">T478</f>
        <v>1.2</v>
      </c>
      <c r="E750" s="375">
        <f t="shared" ref="E750:E774" si="133">U478</f>
        <v>1</v>
      </c>
    </row>
    <row r="751" spans="3:5" hidden="1" x14ac:dyDescent="0.3">
      <c r="C751" s="267" t="str">
        <f>IF(S479="","Platzhalter 23",S479)</f>
        <v>Platzhalter 23</v>
      </c>
      <c r="D751" s="375" t="str">
        <f t="shared" si="132"/>
        <v xml:space="preserve"> </v>
      </c>
      <c r="E751" s="375" t="str">
        <f t="shared" si="133"/>
        <v xml:space="preserve"> </v>
      </c>
    </row>
    <row r="752" spans="3:5" hidden="1" x14ac:dyDescent="0.3">
      <c r="C752" s="267" t="str">
        <f>IF(S480="","Platzhalter 24",S480)</f>
        <v>Platzhalter 24</v>
      </c>
      <c r="D752" s="375" t="str">
        <f t="shared" si="132"/>
        <v xml:space="preserve"> </v>
      </c>
      <c r="E752" s="375" t="str">
        <f t="shared" si="133"/>
        <v xml:space="preserve"> </v>
      </c>
    </row>
    <row r="753" spans="3:5" hidden="1" x14ac:dyDescent="0.3">
      <c r="C753" s="267" t="str">
        <f>IF(S481="","Platzhalter 25",S481)</f>
        <v>Platzhalter 25</v>
      </c>
      <c r="D753" s="375" t="str">
        <f t="shared" si="132"/>
        <v xml:space="preserve"> </v>
      </c>
      <c r="E753" s="375" t="str">
        <f t="shared" si="133"/>
        <v xml:space="preserve"> </v>
      </c>
    </row>
    <row r="754" spans="3:5" hidden="1" x14ac:dyDescent="0.3">
      <c r="C754" s="267" t="str">
        <f>IF(S482="","Platzhalter 26",S482)</f>
        <v>Platzhalter 26</v>
      </c>
      <c r="D754" s="375" t="str">
        <f t="shared" si="132"/>
        <v xml:space="preserve"> </v>
      </c>
      <c r="E754" s="375" t="str">
        <f t="shared" si="133"/>
        <v xml:space="preserve"> </v>
      </c>
    </row>
    <row r="755" spans="3:5" hidden="1" x14ac:dyDescent="0.3">
      <c r="C755" s="267" t="str">
        <f>IF(S483="","Platzhalter 27",S483)</f>
        <v>Platzhalter 27</v>
      </c>
      <c r="D755" s="375" t="str">
        <f t="shared" si="132"/>
        <v xml:space="preserve"> </v>
      </c>
      <c r="E755" s="375" t="str">
        <f t="shared" si="133"/>
        <v xml:space="preserve"> </v>
      </c>
    </row>
    <row r="756" spans="3:5" hidden="1" x14ac:dyDescent="0.3">
      <c r="C756" s="267" t="str">
        <f>IF(S484="","Platzhalter 28",S484)</f>
        <v>Platzhalter 28</v>
      </c>
      <c r="D756" s="375" t="str">
        <f t="shared" si="132"/>
        <v xml:space="preserve"> </v>
      </c>
      <c r="E756" s="375" t="str">
        <f t="shared" si="133"/>
        <v xml:space="preserve"> </v>
      </c>
    </row>
    <row r="757" spans="3:5" hidden="1" x14ac:dyDescent="0.3">
      <c r="C757" s="267" t="str">
        <f>IF(S485="","Platzhalter 29",S485)</f>
        <v>Platzhalter 29</v>
      </c>
      <c r="D757" s="375" t="str">
        <f t="shared" si="132"/>
        <v xml:space="preserve"> </v>
      </c>
      <c r="E757" s="375" t="str">
        <f t="shared" si="133"/>
        <v xml:space="preserve"> </v>
      </c>
    </row>
    <row r="758" spans="3:5" hidden="1" x14ac:dyDescent="0.3">
      <c r="C758" s="267" t="str">
        <f>IF(S486="","Platzhalter 30",S486)</f>
        <v>Platzhalter 30</v>
      </c>
      <c r="D758" s="375" t="str">
        <f t="shared" si="132"/>
        <v xml:space="preserve"> </v>
      </c>
      <c r="E758" s="375" t="str">
        <f t="shared" si="133"/>
        <v xml:space="preserve"> </v>
      </c>
    </row>
    <row r="759" spans="3:5" hidden="1" x14ac:dyDescent="0.3">
      <c r="C759" s="267" t="str">
        <f>IF(S487="","Platzhalter 31",S487)</f>
        <v>Platzhalter 31</v>
      </c>
      <c r="D759" s="375" t="str">
        <f t="shared" si="132"/>
        <v xml:space="preserve"> </v>
      </c>
      <c r="E759" s="375" t="str">
        <f t="shared" si="133"/>
        <v xml:space="preserve"> </v>
      </c>
    </row>
    <row r="760" spans="3:5" hidden="1" x14ac:dyDescent="0.3">
      <c r="C760" s="267" t="str">
        <f>IF(S488="","Platzhalter 32",S488)</f>
        <v>Platzhalter 32</v>
      </c>
      <c r="D760" s="375" t="str">
        <f t="shared" si="132"/>
        <v xml:space="preserve"> </v>
      </c>
      <c r="E760" s="375" t="str">
        <f t="shared" si="133"/>
        <v xml:space="preserve"> </v>
      </c>
    </row>
    <row r="761" spans="3:5" hidden="1" x14ac:dyDescent="0.3">
      <c r="C761" s="267" t="str">
        <f>IF(S489="","Platzhalter 33",S489)</f>
        <v>Platzhalter 33</v>
      </c>
      <c r="D761" s="375" t="str">
        <f t="shared" si="132"/>
        <v xml:space="preserve"> </v>
      </c>
      <c r="E761" s="375" t="str">
        <f t="shared" si="133"/>
        <v xml:space="preserve"> </v>
      </c>
    </row>
    <row r="762" spans="3:5" hidden="1" x14ac:dyDescent="0.3">
      <c r="C762" s="267" t="str">
        <f>IF(S490="","Platzhalter 34",S490)</f>
        <v>Platzhalter 34</v>
      </c>
      <c r="D762" s="375" t="str">
        <f t="shared" si="132"/>
        <v xml:space="preserve"> </v>
      </c>
      <c r="E762" s="375" t="str">
        <f t="shared" si="133"/>
        <v xml:space="preserve"> </v>
      </c>
    </row>
    <row r="763" spans="3:5" hidden="1" x14ac:dyDescent="0.3">
      <c r="C763" s="267" t="str">
        <f>IF(S491="","Platzhalter 35",S491)</f>
        <v>Platzhalter 35</v>
      </c>
      <c r="D763" s="375" t="str">
        <f t="shared" si="132"/>
        <v xml:space="preserve"> </v>
      </c>
      <c r="E763" s="375" t="str">
        <f t="shared" si="133"/>
        <v xml:space="preserve"> </v>
      </c>
    </row>
    <row r="764" spans="3:5" hidden="1" x14ac:dyDescent="0.3">
      <c r="C764" s="267" t="str">
        <f>IF(S492="","Platzhalter 36",S492)</f>
        <v>Platzhalter 36</v>
      </c>
      <c r="D764" s="375" t="str">
        <f t="shared" si="132"/>
        <v xml:space="preserve"> </v>
      </c>
      <c r="E764" s="375" t="str">
        <f t="shared" si="133"/>
        <v xml:space="preserve"> </v>
      </c>
    </row>
    <row r="765" spans="3:5" hidden="1" x14ac:dyDescent="0.3">
      <c r="C765" s="267" t="str">
        <f>IF(S493="","Platzhalter 37",S493)</f>
        <v>Platzhalter 37</v>
      </c>
      <c r="D765" s="375" t="str">
        <f t="shared" si="132"/>
        <v xml:space="preserve"> </v>
      </c>
      <c r="E765" s="375" t="str">
        <f t="shared" si="133"/>
        <v xml:space="preserve"> </v>
      </c>
    </row>
    <row r="766" spans="3:5" hidden="1" x14ac:dyDescent="0.3">
      <c r="C766" s="267" t="str">
        <f>IF(S494="","Platzhalter 38",S494)</f>
        <v>Platzhalter 38</v>
      </c>
      <c r="D766" s="375" t="str">
        <f t="shared" si="132"/>
        <v xml:space="preserve"> </v>
      </c>
      <c r="E766" s="375" t="str">
        <f t="shared" si="133"/>
        <v xml:space="preserve"> </v>
      </c>
    </row>
    <row r="767" spans="3:5" hidden="1" x14ac:dyDescent="0.3">
      <c r="C767" s="267" t="str">
        <f>IF(S495="","Platzhalter 39",S495)</f>
        <v>Platzhalter 39</v>
      </c>
      <c r="D767" s="375" t="str">
        <f t="shared" si="132"/>
        <v xml:space="preserve"> </v>
      </c>
      <c r="E767" s="375" t="str">
        <f t="shared" si="133"/>
        <v xml:space="preserve"> </v>
      </c>
    </row>
    <row r="768" spans="3:5" hidden="1" x14ac:dyDescent="0.3">
      <c r="C768" s="267" t="str">
        <f>IF(S496="","Platzhalter 40",S496)</f>
        <v>Platzhalter 40</v>
      </c>
      <c r="D768" s="375" t="str">
        <f t="shared" si="132"/>
        <v xml:space="preserve"> </v>
      </c>
      <c r="E768" s="375" t="str">
        <f t="shared" si="133"/>
        <v xml:space="preserve"> </v>
      </c>
    </row>
    <row r="769" spans="3:5" hidden="1" x14ac:dyDescent="0.3">
      <c r="C769" s="267" t="str">
        <f>IF(S497="","Platzhalter 41",S497)</f>
        <v>Platzhalter 41</v>
      </c>
      <c r="D769" s="375" t="str">
        <f t="shared" si="132"/>
        <v xml:space="preserve"> </v>
      </c>
      <c r="E769" s="375" t="str">
        <f t="shared" si="133"/>
        <v xml:space="preserve"> </v>
      </c>
    </row>
    <row r="770" spans="3:5" hidden="1" x14ac:dyDescent="0.3">
      <c r="C770" s="267" t="str">
        <f>IF(S498="","Platzhalter 42",S498)</f>
        <v>Platzhalter 42</v>
      </c>
      <c r="D770" s="375" t="str">
        <f t="shared" si="132"/>
        <v xml:space="preserve"> </v>
      </c>
      <c r="E770" s="375" t="str">
        <f t="shared" si="133"/>
        <v xml:space="preserve"> </v>
      </c>
    </row>
    <row r="771" spans="3:5" hidden="1" x14ac:dyDescent="0.3">
      <c r="C771" s="267" t="str">
        <f>IF(S499="","Platzhalter 43",S499)</f>
        <v>Platzhalter 43</v>
      </c>
      <c r="D771" s="375" t="str">
        <f t="shared" si="132"/>
        <v xml:space="preserve"> </v>
      </c>
      <c r="E771" s="375" t="str">
        <f t="shared" si="133"/>
        <v xml:space="preserve"> </v>
      </c>
    </row>
    <row r="772" spans="3:5" hidden="1" x14ac:dyDescent="0.3">
      <c r="C772" s="267" t="str">
        <f>IF(S500="","Platzhalter 44",S500)</f>
        <v>Platzhalter 44</v>
      </c>
      <c r="D772" s="375" t="str">
        <f t="shared" si="132"/>
        <v xml:space="preserve"> </v>
      </c>
      <c r="E772" s="375" t="str">
        <f t="shared" si="133"/>
        <v xml:space="preserve"> </v>
      </c>
    </row>
    <row r="773" spans="3:5" hidden="1" x14ac:dyDescent="0.3">
      <c r="C773" s="267" t="str">
        <f>IF(S501="","Platzhalter 45",S501)</f>
        <v>Platzhalter 45</v>
      </c>
      <c r="D773" s="375" t="str">
        <f t="shared" si="132"/>
        <v xml:space="preserve"> </v>
      </c>
      <c r="E773" s="375" t="str">
        <f t="shared" si="133"/>
        <v xml:space="preserve"> </v>
      </c>
    </row>
    <row r="774" spans="3:5" hidden="1" x14ac:dyDescent="0.3">
      <c r="C774" s="267" t="str">
        <f>IF(S502="","Platzhalter 46",S502)</f>
        <v>Platzhalter 46</v>
      </c>
      <c r="D774" s="375" t="str">
        <f t="shared" si="132"/>
        <v xml:space="preserve"> </v>
      </c>
      <c r="E774" s="375" t="str">
        <f t="shared" si="133"/>
        <v xml:space="preserve"> </v>
      </c>
    </row>
    <row r="775" spans="3:5" x14ac:dyDescent="0.3"/>
    <row r="776" spans="3:5" x14ac:dyDescent="0.3"/>
    <row r="777" spans="3:5" x14ac:dyDescent="0.3"/>
    <row r="778" spans="3:5" x14ac:dyDescent="0.3"/>
    <row r="779" spans="3:5" x14ac:dyDescent="0.3"/>
    <row r="780" spans="3:5" x14ac:dyDescent="0.3"/>
    <row r="781" spans="3:5" x14ac:dyDescent="0.3"/>
    <row r="782" spans="3:5" x14ac:dyDescent="0.3"/>
    <row r="783" spans="3:5" x14ac:dyDescent="0.3"/>
    <row r="784" spans="3:5" x14ac:dyDescent="0.3"/>
    <row r="785" x14ac:dyDescent="0.3"/>
    <row r="786" x14ac:dyDescent="0.3"/>
    <row r="787" x14ac:dyDescent="0.3"/>
    <row r="788" x14ac:dyDescent="0.3"/>
    <row r="789" x14ac:dyDescent="0.3"/>
    <row r="790" x14ac:dyDescent="0.3"/>
    <row r="791" x14ac:dyDescent="0.3"/>
    <row r="792" x14ac:dyDescent="0.3"/>
    <row r="793" x14ac:dyDescent="0.3"/>
    <row r="794" x14ac:dyDescent="0.3"/>
    <row r="795" x14ac:dyDescent="0.3"/>
    <row r="796" x14ac:dyDescent="0.3"/>
    <row r="797" x14ac:dyDescent="0.3"/>
    <row r="798" x14ac:dyDescent="0.3"/>
    <row r="799" x14ac:dyDescent="0.3"/>
    <row r="800" x14ac:dyDescent="0.3"/>
    <row r="801" x14ac:dyDescent="0.3"/>
    <row r="802" x14ac:dyDescent="0.3"/>
    <row r="803" x14ac:dyDescent="0.3"/>
    <row r="804" x14ac:dyDescent="0.3"/>
    <row r="805" x14ac:dyDescent="0.3"/>
    <row r="806" x14ac:dyDescent="0.3"/>
    <row r="807" x14ac:dyDescent="0.3"/>
    <row r="808" x14ac:dyDescent="0.3"/>
    <row r="809" x14ac:dyDescent="0.3"/>
    <row r="810" x14ac:dyDescent="0.3"/>
    <row r="811" x14ac:dyDescent="0.3"/>
    <row r="812" x14ac:dyDescent="0.3"/>
    <row r="813" x14ac:dyDescent="0.3"/>
    <row r="814" x14ac:dyDescent="0.3"/>
    <row r="815" x14ac:dyDescent="0.3"/>
    <row r="816" x14ac:dyDescent="0.3"/>
    <row r="817" x14ac:dyDescent="0.3"/>
    <row r="818" x14ac:dyDescent="0.3"/>
    <row r="819" x14ac:dyDescent="0.3"/>
    <row r="820" x14ac:dyDescent="0.3"/>
    <row r="821" x14ac:dyDescent="0.3"/>
    <row r="822" x14ac:dyDescent="0.3"/>
    <row r="823" x14ac:dyDescent="0.3"/>
    <row r="824" x14ac:dyDescent="0.3"/>
    <row r="825" x14ac:dyDescent="0.3"/>
    <row r="826" x14ac:dyDescent="0.3"/>
    <row r="827" x14ac:dyDescent="0.3"/>
    <row r="828" x14ac:dyDescent="0.3"/>
    <row r="829" x14ac:dyDescent="0.3"/>
    <row r="830" x14ac:dyDescent="0.3"/>
    <row r="831" x14ac:dyDescent="0.3"/>
    <row r="832" x14ac:dyDescent="0.3"/>
    <row r="833" x14ac:dyDescent="0.3"/>
    <row r="834" x14ac:dyDescent="0.3"/>
    <row r="835" x14ac:dyDescent="0.3"/>
    <row r="836" x14ac:dyDescent="0.3"/>
    <row r="837" x14ac:dyDescent="0.3"/>
    <row r="838" x14ac:dyDescent="0.3"/>
    <row r="839" x14ac:dyDescent="0.3"/>
    <row r="840" x14ac:dyDescent="0.3"/>
    <row r="841" x14ac:dyDescent="0.3"/>
    <row r="842" x14ac:dyDescent="0.3"/>
    <row r="843" x14ac:dyDescent="0.3"/>
    <row r="844" x14ac:dyDescent="0.3"/>
    <row r="845" x14ac:dyDescent="0.3"/>
    <row r="846" x14ac:dyDescent="0.3"/>
    <row r="847" x14ac:dyDescent="0.3"/>
    <row r="848" x14ac:dyDescent="0.3"/>
    <row r="849" x14ac:dyDescent="0.3"/>
    <row r="850" x14ac:dyDescent="0.3"/>
    <row r="851" x14ac:dyDescent="0.3"/>
    <row r="852" x14ac:dyDescent="0.3"/>
    <row r="853" x14ac:dyDescent="0.3"/>
    <row r="854" x14ac:dyDescent="0.3"/>
    <row r="855" x14ac:dyDescent="0.3"/>
    <row r="856" x14ac:dyDescent="0.3"/>
    <row r="857" x14ac:dyDescent="0.3"/>
    <row r="858" x14ac:dyDescent="0.3"/>
    <row r="859" x14ac:dyDescent="0.3"/>
    <row r="860" x14ac:dyDescent="0.3"/>
    <row r="861" x14ac:dyDescent="0.3"/>
    <row r="862" x14ac:dyDescent="0.3"/>
    <row r="863" x14ac:dyDescent="0.3"/>
    <row r="864" x14ac:dyDescent="0.3"/>
    <row r="865" x14ac:dyDescent="0.3"/>
    <row r="866" x14ac:dyDescent="0.3"/>
    <row r="867" x14ac:dyDescent="0.3"/>
    <row r="868" x14ac:dyDescent="0.3"/>
    <row r="869" x14ac:dyDescent="0.3"/>
    <row r="870" x14ac:dyDescent="0.3"/>
    <row r="871" x14ac:dyDescent="0.3"/>
    <row r="872" x14ac:dyDescent="0.3"/>
    <row r="873" x14ac:dyDescent="0.3"/>
    <row r="874" x14ac:dyDescent="0.3"/>
    <row r="875" x14ac:dyDescent="0.3"/>
    <row r="876" x14ac:dyDescent="0.3"/>
    <row r="877" x14ac:dyDescent="0.3"/>
    <row r="878" x14ac:dyDescent="0.3"/>
    <row r="879" x14ac:dyDescent="0.3"/>
    <row r="880" x14ac:dyDescent="0.3"/>
    <row r="881" x14ac:dyDescent="0.3"/>
    <row r="882" x14ac:dyDescent="0.3"/>
    <row r="883" x14ac:dyDescent="0.3"/>
    <row r="884" x14ac:dyDescent="0.3"/>
    <row r="885" x14ac:dyDescent="0.3"/>
    <row r="886" x14ac:dyDescent="0.3"/>
    <row r="887" x14ac:dyDescent="0.3"/>
    <row r="888" x14ac:dyDescent="0.3"/>
    <row r="889" x14ac:dyDescent="0.3"/>
    <row r="890" x14ac:dyDescent="0.3"/>
    <row r="891" x14ac:dyDescent="0.3"/>
    <row r="892" x14ac:dyDescent="0.3"/>
    <row r="893" x14ac:dyDescent="0.3"/>
    <row r="894" x14ac:dyDescent="0.3"/>
    <row r="895" x14ac:dyDescent="0.3"/>
    <row r="896" x14ac:dyDescent="0.3"/>
    <row r="897" x14ac:dyDescent="0.3"/>
    <row r="898" x14ac:dyDescent="0.3"/>
    <row r="899" x14ac:dyDescent="0.3"/>
    <row r="900" x14ac:dyDescent="0.3"/>
    <row r="901" x14ac:dyDescent="0.3"/>
    <row r="902" x14ac:dyDescent="0.3"/>
    <row r="903" x14ac:dyDescent="0.3"/>
    <row r="904" x14ac:dyDescent="0.3"/>
    <row r="905" x14ac:dyDescent="0.3"/>
    <row r="906" x14ac:dyDescent="0.3"/>
    <row r="907" x14ac:dyDescent="0.3"/>
    <row r="908" x14ac:dyDescent="0.3"/>
    <row r="909" x14ac:dyDescent="0.3"/>
    <row r="910" x14ac:dyDescent="0.3"/>
    <row r="911" x14ac:dyDescent="0.3"/>
    <row r="912" x14ac:dyDescent="0.3"/>
    <row r="913" x14ac:dyDescent="0.3"/>
    <row r="914" x14ac:dyDescent="0.3"/>
    <row r="915" x14ac:dyDescent="0.3"/>
    <row r="916" x14ac:dyDescent="0.3"/>
    <row r="917" x14ac:dyDescent="0.3"/>
    <row r="918" x14ac:dyDescent="0.3"/>
    <row r="919" x14ac:dyDescent="0.3"/>
    <row r="920" x14ac:dyDescent="0.3"/>
    <row r="921" x14ac:dyDescent="0.3"/>
    <row r="922" x14ac:dyDescent="0.3"/>
    <row r="923" x14ac:dyDescent="0.3"/>
    <row r="924" x14ac:dyDescent="0.3"/>
    <row r="925" x14ac:dyDescent="0.3"/>
    <row r="926" x14ac:dyDescent="0.3"/>
    <row r="927" x14ac:dyDescent="0.3"/>
    <row r="928" x14ac:dyDescent="0.3"/>
    <row r="929" x14ac:dyDescent="0.3"/>
    <row r="930" x14ac:dyDescent="0.3"/>
    <row r="931" x14ac:dyDescent="0.3"/>
    <row r="932" x14ac:dyDescent="0.3"/>
    <row r="933" x14ac:dyDescent="0.3"/>
    <row r="934" x14ac:dyDescent="0.3"/>
    <row r="935" x14ac:dyDescent="0.3"/>
    <row r="936" x14ac:dyDescent="0.3"/>
    <row r="937" x14ac:dyDescent="0.3"/>
    <row r="938" x14ac:dyDescent="0.3"/>
    <row r="939" x14ac:dyDescent="0.3"/>
    <row r="940" x14ac:dyDescent="0.3"/>
    <row r="941" x14ac:dyDescent="0.3"/>
    <row r="942" x14ac:dyDescent="0.3"/>
    <row r="943" x14ac:dyDescent="0.3"/>
    <row r="944" x14ac:dyDescent="0.3"/>
  </sheetData>
  <sheetProtection algorithmName="SHA-512" hashValue="YtTNUsHypIJvlxJY83WcOGokHHV19wm0E6YajrGKQKLMgBULS9aR5O7HeHjvbuzAdOD72KFLij/TuEd1SM82zA==" saltValue="PD+N6tOcMpVyjuM5regCaQ==" spinCount="100000" sheet="1" objects="1" scenarios="1"/>
  <dataConsolidate/>
  <mergeCells count="13">
    <mergeCell ref="B85:G87"/>
    <mergeCell ref="B82:G83"/>
    <mergeCell ref="B26:G27"/>
    <mergeCell ref="B450:I452"/>
    <mergeCell ref="B50:F52"/>
    <mergeCell ref="B110:G110"/>
    <mergeCell ref="B106:G108"/>
    <mergeCell ref="B102:G104"/>
    <mergeCell ref="B97:G99"/>
    <mergeCell ref="B89:G91"/>
    <mergeCell ref="B162:F162"/>
    <mergeCell ref="B93:G94"/>
    <mergeCell ref="B95:G95"/>
  </mergeCells>
  <phoneticPr fontId="39" type="noConversion"/>
  <conditionalFormatting sqref="B85">
    <cfRule type="duplicateValues" dxfId="9" priority="8"/>
  </conditionalFormatting>
  <conditionalFormatting sqref="B89">
    <cfRule type="duplicateValues" dxfId="8" priority="7"/>
  </conditionalFormatting>
  <conditionalFormatting sqref="B93">
    <cfRule type="duplicateValues" dxfId="7" priority="6"/>
  </conditionalFormatting>
  <conditionalFormatting sqref="B97">
    <cfRule type="duplicateValues" dxfId="6" priority="5"/>
  </conditionalFormatting>
  <conditionalFormatting sqref="B102">
    <cfRule type="duplicateValues" dxfId="5" priority="3"/>
  </conditionalFormatting>
  <conditionalFormatting sqref="B106">
    <cfRule type="duplicateValues" dxfId="4" priority="1"/>
  </conditionalFormatting>
  <conditionalFormatting sqref="B109 B105 B82 B84 B88 B92 B96 B101">
    <cfRule type="duplicateValues" dxfId="3" priority="14"/>
  </conditionalFormatting>
  <dataValidations disablePrompts="1" count="8">
    <dataValidation type="list" allowBlank="1" showInputMessage="1" showErrorMessage="1" promptTitle="Bitte auswählen" sqref="E114">
      <formula1>"-,Ja,Nein"</formula1>
    </dataValidation>
    <dataValidation type="list" allowBlank="1" showInputMessage="1" showErrorMessage="1" promptTitle="Bitte auswählen" sqref="F203:F208 F190:F195 F216:F221 F229:F234 F242:F247 F255:F260 F268:F273 F281:F286 F294:F299 F307:F312 F320:F325 F333:F338 F346:F351 F359:F364 F372:F377 F398:F403 F411:F416 F424:F429 F437:F442 F385:F390">
      <formula1>"-,Ja,Nein,kA"</formula1>
    </dataValidation>
    <dataValidation type="list" allowBlank="1" showInputMessage="1" showErrorMessage="1" promptTitle="Bitte auswählen" sqref="C190:C195 C385:C390 C437:C442 C424:C429 C411:C416 C398:C403 C372:C377 C359:C364 C346:C351 C333:C338 C320:C325 C307:C312 C294:C299 C281:C286 C268:C273 C203:C208 C242:C247 C229:C234 C216:C221 C255:C260">
      <formula1>$C$457:$C$464</formula1>
    </dataValidation>
    <dataValidation type="list" allowBlank="1" showInputMessage="1" showErrorMessage="1" promptTitle="Bitte auswählen" sqref="D190">
      <formula1>$T$190:$AZ$190</formula1>
    </dataValidation>
    <dataValidation type="list" allowBlank="1" showInputMessage="1" showErrorMessage="1" promptTitle="Bitte auswählen" sqref="D191:D195 D385:D390 D437:D442 D424:D429 D411:D416 D398:D403 D372:D377 D359:D364 D346:D351 D333:D338 D320:D325 D307:D312 D294:D299 D281:D286 D268:D273 D242:D247 D229:D234 D216:D221 D255:D260 D203:D208">
      <formula1>T191:AZ191</formula1>
    </dataValidation>
    <dataValidation type="list" allowBlank="1" showInputMessage="1" showErrorMessage="1" promptTitle="Berechnungsmethode" prompt="Beim detaillierten Rechner können die CO2-Bilanzen der einzelnen Gerichte über die Zutaten berechnet werden. _x000a_Die vereinfachte Abschätzung ist hauptsächlich dafür gedacht, wenn eine detaillierte Berechnung aus irgendwelchen Gründen nicht möglich ist." sqref="D29">
      <formula1>"detaillierter Rechner,vereinfachte Abschätzung"</formula1>
    </dataValidation>
    <dataValidation type="list" allowBlank="1" showInputMessage="1" showErrorMessage="1" sqref="D58 D68">
      <formula1>"Einheit wählen,Liter,kg"</formula1>
    </dataValidation>
    <dataValidation type="list" allowBlank="1" showInputMessage="1" showErrorMessage="1" promptTitle="Auswahl von Snacks" prompt="Snack im Auswahlmenü auswählen. Es können auch Kategorien ausgewählt werden (z.B. Brötchen allgemein). _x000a_Weitere Snacks können am Ende des Tabellenblattes hinzugefügt werden. " sqref="C167:C176">
      <formula1>$C$511:$C$535</formula1>
    </dataValidation>
  </dataValidations>
  <hyperlinks>
    <hyperlink ref="A5" location="Inhalt!A1" display="&lt;= Start"/>
    <hyperlink ref="B117" location="Ernährung!A186" display="Gericht 1"/>
    <hyperlink ref="A189" location="Ernährung!A112" display="Ernährung!A112"/>
    <hyperlink ref="B118" location="Ernährung!B199" display="Gericht 2"/>
    <hyperlink ref="B119" location="Ernährung!B212" display="Gericht 3"/>
    <hyperlink ref="B120" location="Ernährung!B225" display="Gericht 4"/>
    <hyperlink ref="B121" location="Ernährung!B238" display="Gericht 5"/>
    <hyperlink ref="B122" location="Ernährung!B241" display="Gericht 6"/>
    <hyperlink ref="B124" location="Ernährung!B277" display="Gericht 8"/>
    <hyperlink ref="B125" location="Ernährung!B290" display="Gericht 9"/>
    <hyperlink ref="B126" location="Ernährung!B303" display="Gericht 10"/>
    <hyperlink ref="B127" location="Ernährung!B316" display="Gericht 11"/>
    <hyperlink ref="B129" location="Ernährung!B342" display="Gericht 13"/>
    <hyperlink ref="B130:B136" location="Ernährung!B271" display="Gericht 1"/>
    <hyperlink ref="B128" location="Ernährung!B329" display="Gericht 12"/>
    <hyperlink ref="B130" location="Ernährung!B355" display="Gericht 14"/>
    <hyperlink ref="B131" location="Ernährung!B368" display="Gericht 15"/>
    <hyperlink ref="B132" location="Ernährung!B381" display="Gericht 16"/>
    <hyperlink ref="B133" location="Ernährung!B394" display="Gericht 17"/>
    <hyperlink ref="B134" location="Ernährung!B407" display="Gericht 18"/>
    <hyperlink ref="B135" location="Ernährung!B420" display="Gericht 19"/>
    <hyperlink ref="B136" location="Ernährung!B433" display="Gericht 20"/>
    <hyperlink ref="B110:G110" r:id="rId1" display="https://www.ifeu.de/projekt/oekologischer-fussabdruck-von-lebensmitteln-und-gerichten-in-deutschland/"/>
    <hyperlink ref="B13" location="Ernährung!A182" display="2. Übersicht der berechneten Gerichte"/>
    <hyperlink ref="B14" location="Ernährung!A140" display="3. Hochrechnung der Treibhausgasemissionen für ein Jahr"/>
    <hyperlink ref="B15" location="Ernährung!A152" display="4. Übersicht der veganen und vegetarischen Gerichte und Fleischgerichte"/>
    <hyperlink ref="B16" location="Ernährung!A160" display="5. Erfassung von verkauften Snacks"/>
    <hyperlink ref="B10" location="Ernährung!A48" display="3. Erfassung der Essensreste"/>
    <hyperlink ref="B17" location="Ernährung!A184" display="6. Berechnung der Emissionen einzelner Gerichte"/>
    <hyperlink ref="B9" location="Ernährung!A31" display="2. Vereinfachte Berechnungsmethode"/>
    <hyperlink ref="B18" location="Ernährung!A448" display="6. Zutatenliste (nicht zur Bearbeitung)"/>
    <hyperlink ref="B19" location="Ernährung!A506" display="7. Auswahlliste Snacks (nicht zur Bearbeitung)"/>
    <hyperlink ref="B123" location="Ernährung!A264" display="Gericht 7"/>
    <hyperlink ref="B8" location="Ernährung!A24" display="1. Auswahl der Berechnungsmethode"/>
    <hyperlink ref="B11" location="Ernährung!A78" display="4. Detaillierte Berechnungsmethode"/>
    <hyperlink ref="B12" location="Ernährung!A80" display="1. Anleitung"/>
    <hyperlink ref="A202" location="Ernährung!A112" display="Ernährung!A112"/>
    <hyperlink ref="A215" location="Ernährung!A112" display="Ernährung!A112"/>
    <hyperlink ref="A228" location="Ernährung!A112" display="Ernährung!A112"/>
    <hyperlink ref="A241" location="Ernährung!A112" display="Ernährung!A112"/>
    <hyperlink ref="A254" location="Ernährung!A112" display="Ernährung!A112"/>
    <hyperlink ref="A267" location="Ernährung!A112" display="Ernährung!A112"/>
    <hyperlink ref="A280" location="Ernährung!A112" display="Ernährung!A112"/>
    <hyperlink ref="A293" location="Ernährung!A112" display="Ernährung!A112"/>
    <hyperlink ref="A306" location="Ernährung!A112" display="Ernährung!A112"/>
    <hyperlink ref="A319" location="Ernährung!A112" display="Ernährung!A112"/>
    <hyperlink ref="A332" location="Ernährung!A112" display="Ernährung!A112"/>
    <hyperlink ref="A345" location="Ernährung!A112" display="Ernährung!A112"/>
    <hyperlink ref="A358" location="Ernährung!A112" display="Ernährung!A112"/>
    <hyperlink ref="A371" location="Ernährung!A112" display="Ernährung!A112"/>
    <hyperlink ref="A384" location="Ernährung!A112" display="Ernährung!A112"/>
    <hyperlink ref="A397" location="Ernährung!A112" display="Ernährung!A112"/>
    <hyperlink ref="A410" location="Ernährung!A112" display="Ernährung!A112"/>
    <hyperlink ref="A423" location="Ernährung!A112" display="Ernährung!A112"/>
    <hyperlink ref="A436" location="Ernährung!A112" display="Ernährung!A112"/>
  </hyperlinks>
  <pageMargins left="0.7" right="0.7" top="0.75" bottom="0.75" header="0.3" footer="0.3"/>
  <pageSetup paperSize="9" orientation="portrait" horizontalDpi="4294967295" verticalDpi="4294967295"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Lookup!$AA$4:$AA$7</xm:f>
          </x14:formula1>
          <xm:sqref>D59 D69</xm:sqref>
        </x14:dataValidation>
        <x14:dataValidation type="list" allowBlank="1" showInputMessage="1" showErrorMessage="1">
          <x14:formula1>
            <xm:f>Lookup!$Y$89:$Y$92</xm:f>
          </x14:formula1>
          <xm:sqref>C164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94B4D"/>
  </sheetPr>
  <dimension ref="A1:K103"/>
  <sheetViews>
    <sheetView showGridLines="0" workbookViewId="0">
      <selection activeCell="G6" sqref="G6"/>
    </sheetView>
  </sheetViews>
  <sheetFormatPr baseColWidth="10" defaultColWidth="0" defaultRowHeight="14.4" zeroHeight="1" x14ac:dyDescent="0.3"/>
  <cols>
    <col min="1" max="1" width="8.88671875" customWidth="1"/>
    <col min="2" max="2" width="16.33203125" customWidth="1"/>
    <col min="3" max="3" width="9.44140625" customWidth="1"/>
    <col min="4" max="4" width="8.88671875" customWidth="1"/>
    <col min="5" max="5" width="12.33203125" customWidth="1"/>
    <col min="6" max="6" width="3.44140625" customWidth="1"/>
    <col min="7" max="7" width="24.44140625" customWidth="1"/>
    <col min="8" max="8" width="6.44140625" customWidth="1"/>
    <col min="9" max="9" width="23.44140625" customWidth="1"/>
    <col min="10" max="11" width="3.33203125" customWidth="1"/>
    <col min="12" max="16384" width="8.88671875" hidden="1"/>
  </cols>
  <sheetData>
    <row r="1" spans="1:11" ht="12" customHeight="1" x14ac:dyDescent="0.3">
      <c r="A1" s="1"/>
      <c r="B1" s="1"/>
      <c r="C1" s="1"/>
      <c r="D1" s="1"/>
      <c r="E1" s="1"/>
      <c r="F1" s="1"/>
      <c r="G1" s="1"/>
      <c r="H1" s="1"/>
      <c r="I1" s="1"/>
      <c r="J1" s="1"/>
      <c r="K1" s="1"/>
    </row>
    <row r="2" spans="1:11" ht="12" customHeight="1" x14ac:dyDescent="0.3">
      <c r="A2" s="1"/>
      <c r="B2" s="1"/>
      <c r="C2" s="1"/>
      <c r="D2" s="1"/>
      <c r="E2" s="1"/>
      <c r="F2" s="1"/>
      <c r="G2" s="1"/>
      <c r="H2" s="1"/>
      <c r="I2" s="1"/>
      <c r="J2" s="1"/>
      <c r="K2" s="1"/>
    </row>
    <row r="3" spans="1:11" ht="32.4" customHeight="1" x14ac:dyDescent="0.55000000000000004">
      <c r="A3" s="1"/>
      <c r="B3" s="1"/>
      <c r="C3" s="1"/>
      <c r="D3" s="2" t="s">
        <v>960</v>
      </c>
      <c r="E3" s="1"/>
      <c r="F3" s="1"/>
      <c r="G3" s="1"/>
      <c r="H3" s="2"/>
      <c r="I3" s="1"/>
      <c r="J3" s="1"/>
      <c r="K3" s="2"/>
    </row>
    <row r="4" spans="1:11" ht="18.45" customHeight="1" thickBot="1" x14ac:dyDescent="0.4">
      <c r="A4" s="480"/>
      <c r="B4" s="481"/>
      <c r="C4" s="481"/>
      <c r="D4" s="482" t="str">
        <f>NameDerSchule</f>
        <v>Schule ABC</v>
      </c>
      <c r="E4" s="482"/>
      <c r="F4" s="480"/>
      <c r="G4" s="480"/>
      <c r="H4" s="480"/>
      <c r="I4" s="480"/>
      <c r="J4" s="480"/>
      <c r="K4" s="480"/>
    </row>
    <row r="5" spans="1:11" ht="15" thickTop="1" x14ac:dyDescent="0.3">
      <c r="A5" s="26" t="s">
        <v>63</v>
      </c>
    </row>
    <row r="6" spans="1:11" x14ac:dyDescent="0.3"/>
    <row r="7" spans="1:11" ht="18" thickBot="1" x14ac:dyDescent="0.4">
      <c r="B7" s="3" t="s">
        <v>412</v>
      </c>
      <c r="C7" s="3"/>
      <c r="D7" s="3"/>
      <c r="E7" s="3"/>
      <c r="F7" s="3"/>
    </row>
    <row r="8" spans="1:11" ht="15" thickTop="1" x14ac:dyDescent="0.3">
      <c r="B8" s="38"/>
    </row>
    <row r="9" spans="1:11" x14ac:dyDescent="0.3">
      <c r="B9" t="s">
        <v>634</v>
      </c>
      <c r="C9" s="74" t="str">
        <f>TEXT(IF($D$23="Durchschnittswerte anderer Schulen verwenden",G96,$E$34),"#.##0")&amp;" kg "&amp;IF($G$36&lt;&gt;"Papierart wählen",$G$36,"")</f>
        <v>9.158 kg Recyclingpapier</v>
      </c>
      <c r="G9" s="179">
        <f>IF($D$23="Durchschnittswerte anderer Schulen verwenden",$I$96,$G$38)</f>
        <v>8113.5450000000001</v>
      </c>
    </row>
    <row r="10" spans="1:11" x14ac:dyDescent="0.3">
      <c r="B10" t="s">
        <v>635</v>
      </c>
      <c r="C10" s="74" t="str">
        <f>TEXT(IF($D$24="Durchschnittswerte anderer Schulen verwenden",G97,$E$49),"#.##0")&amp;" kg "&amp;IF($G$51&lt;&gt;"Papierart wählen",$G$51,"")</f>
        <v xml:space="preserve">0 kg </v>
      </c>
      <c r="G10" s="179">
        <f>IF($D$24="Durchschnittswerte anderer Schulen verwenden",$I$97,$G$53)</f>
        <v>0</v>
      </c>
    </row>
    <row r="11" spans="1:11" x14ac:dyDescent="0.3">
      <c r="B11" t="s">
        <v>1199</v>
      </c>
      <c r="C11" s="74" t="str">
        <f>TEXT(IF($D$25="Durchschnittswerte anderer Schulen verwenden",G98,$E$63),"#.##0")&amp;" kg "&amp;IF($G$65&lt;&gt;"Papierart wählen",$G$65,"")</f>
        <v xml:space="preserve">0 kg </v>
      </c>
      <c r="G11" s="179">
        <f>IF($D$25="Durchschnittswerte anderer Schulen verwenden",$I$98,$G$67)</f>
        <v>0</v>
      </c>
    </row>
    <row r="12" spans="1:11" ht="15" thickBot="1" x14ac:dyDescent="0.35">
      <c r="B12" t="s">
        <v>636</v>
      </c>
      <c r="C12" s="74" t="str">
        <f>TEXT(IF($D$26="Durchschnittswerte anderer Schulen verwenden",G99,$E$77),"#.##0")&amp;" kg "&amp;IF($G$79&lt;&gt;"Papierart wählen",$G$79,"")</f>
        <v xml:space="preserve">0 kg </v>
      </c>
      <c r="G12" s="179">
        <f>IF($D$26="Durchschnittswerte anderer Schulen verwenden",$I$99,$G$81)</f>
        <v>0</v>
      </c>
    </row>
    <row r="13" spans="1:11" ht="15" thickTop="1" x14ac:dyDescent="0.3">
      <c r="E13" s="15"/>
      <c r="G13" s="202">
        <f>SUM(G9:G12)</f>
        <v>8113.5450000000001</v>
      </c>
    </row>
    <row r="14" spans="1:11" x14ac:dyDescent="0.3"/>
    <row r="15" spans="1:11" x14ac:dyDescent="0.3">
      <c r="B15" s="374" t="str">
        <f>IF(VerbrauchsanteilSchulePapier&lt;&gt;100%,"Hinweis: Zur Berechnung der CO2-Bilanz werden nur "&amp;TEXT(VerbrauchsanteilSchulePapier,"0 %")&amp;" der hier erfassten CO2-Gutschrift verwendet.","")</f>
        <v>Hinweis: Zur Berechnung der CO2-Bilanz werden nur 50 % der hier erfassten CO2-Gutschrift verwendet.</v>
      </c>
    </row>
    <row r="16" spans="1:11" x14ac:dyDescent="0.3">
      <c r="B16" s="374" t="str">
        <f>IF(VerbrauchsanteilSchulePapier&lt;&gt;100%,"Dies entspricht "&amp;TEXT($G$13*VerbrauchsanteilSchulePapier,"#.##0")&amp;" kg CO2. Der Anteil der Schule kann im Tabellenblatt Einstellungen geändert werden.","")</f>
        <v>Dies entspricht 4.057 kg CO2. Der Anteil der Schule kann im Tabellenblatt Einstellungen geändert werden.</v>
      </c>
    </row>
    <row r="17" spans="2:10" ht="18" thickBot="1" x14ac:dyDescent="0.4">
      <c r="B17" s="3" t="s">
        <v>969</v>
      </c>
      <c r="C17" s="3"/>
      <c r="D17" s="3"/>
      <c r="E17" s="3"/>
      <c r="F17" s="3"/>
    </row>
    <row r="18" spans="2:10" ht="15" thickTop="1" x14ac:dyDescent="0.3"/>
    <row r="19" spans="2:10" ht="39.6" customHeight="1" x14ac:dyDescent="0.3">
      <c r="B19" s="669" t="s">
        <v>970</v>
      </c>
      <c r="C19" s="670"/>
      <c r="D19" s="670"/>
      <c r="E19" s="670"/>
      <c r="F19" s="670"/>
      <c r="G19" s="670"/>
      <c r="H19" s="670"/>
      <c r="I19" s="670"/>
      <c r="J19" s="671"/>
    </row>
    <row r="20" spans="2:10" ht="39.6" customHeight="1" x14ac:dyDescent="0.3">
      <c r="B20" s="672"/>
      <c r="C20" s="673"/>
      <c r="D20" s="673"/>
      <c r="E20" s="673"/>
      <c r="F20" s="673"/>
      <c r="G20" s="673"/>
      <c r="H20" s="673"/>
      <c r="I20" s="673"/>
      <c r="J20" s="674"/>
    </row>
    <row r="21" spans="2:10" x14ac:dyDescent="0.3"/>
    <row r="22" spans="2:10" ht="15" thickBot="1" x14ac:dyDescent="0.35">
      <c r="B22" s="8" t="s">
        <v>971</v>
      </c>
      <c r="D22" s="8" t="s">
        <v>972</v>
      </c>
      <c r="H22" s="8" t="s">
        <v>962</v>
      </c>
    </row>
    <row r="23" spans="2:10" ht="15.6" thickTop="1" thickBot="1" x14ac:dyDescent="0.35">
      <c r="B23" s="123" t="s">
        <v>634</v>
      </c>
      <c r="C23" s="366"/>
      <c r="D23" s="664" t="s">
        <v>966</v>
      </c>
      <c r="E23" s="665"/>
      <c r="F23" s="665"/>
      <c r="G23" s="666"/>
      <c r="H23" s="667" t="s">
        <v>361</v>
      </c>
      <c r="I23" s="668"/>
    </row>
    <row r="24" spans="2:10" ht="15.6" thickTop="1" thickBot="1" x14ac:dyDescent="0.35">
      <c r="B24" s="123" t="s">
        <v>635</v>
      </c>
      <c r="C24" s="366"/>
      <c r="D24" s="664" t="s">
        <v>966</v>
      </c>
      <c r="E24" s="665"/>
      <c r="F24" s="665"/>
      <c r="G24" s="666"/>
      <c r="H24" s="667" t="s">
        <v>361</v>
      </c>
      <c r="I24" s="668"/>
    </row>
    <row r="25" spans="2:10" ht="15.6" thickTop="1" thickBot="1" x14ac:dyDescent="0.35">
      <c r="B25" s="123" t="s">
        <v>1199</v>
      </c>
      <c r="C25" s="366"/>
      <c r="D25" s="664" t="s">
        <v>966</v>
      </c>
      <c r="E25" s="665"/>
      <c r="F25" s="665"/>
      <c r="G25" s="666"/>
      <c r="H25" s="667" t="s">
        <v>361</v>
      </c>
      <c r="I25" s="668"/>
    </row>
    <row r="26" spans="2:10" ht="15.6" thickTop="1" thickBot="1" x14ac:dyDescent="0.35">
      <c r="B26" s="123" t="s">
        <v>636</v>
      </c>
      <c r="C26" s="366"/>
      <c r="D26" s="664" t="s">
        <v>966</v>
      </c>
      <c r="E26" s="665"/>
      <c r="F26" s="665"/>
      <c r="G26" s="666"/>
      <c r="H26" s="667" t="s">
        <v>361</v>
      </c>
      <c r="I26" s="668"/>
    </row>
    <row r="27" spans="2:10" x14ac:dyDescent="0.3"/>
    <row r="28" spans="2:10" ht="18" thickBot="1" x14ac:dyDescent="0.4">
      <c r="B28" s="3" t="s">
        <v>411</v>
      </c>
      <c r="C28" s="3"/>
      <c r="D28" s="3"/>
      <c r="E28" s="3"/>
    </row>
    <row r="29" spans="2:10" ht="9.6" customHeight="1" thickTop="1" x14ac:dyDescent="0.3"/>
    <row r="30" spans="2:10" ht="15" thickBot="1" x14ac:dyDescent="0.35">
      <c r="E30" t="s">
        <v>345</v>
      </c>
      <c r="F30" s="78" t="s">
        <v>344</v>
      </c>
      <c r="G30" t="s">
        <v>46</v>
      </c>
      <c r="H30" s="79" t="s">
        <v>352</v>
      </c>
      <c r="I30" t="s">
        <v>346</v>
      </c>
    </row>
    <row r="31" spans="2:10" ht="15.6" thickTop="1" thickBot="1" x14ac:dyDescent="0.35">
      <c r="B31" s="8" t="s">
        <v>357</v>
      </c>
      <c r="E31" s="192">
        <v>99</v>
      </c>
      <c r="F31" s="78" t="s">
        <v>344</v>
      </c>
      <c r="G31" s="252" t="s">
        <v>353</v>
      </c>
      <c r="H31" s="79" t="s">
        <v>352</v>
      </c>
      <c r="I31" s="252" t="s">
        <v>350</v>
      </c>
    </row>
    <row r="32" spans="2:10" ht="8.4" customHeight="1" thickTop="1" x14ac:dyDescent="0.3">
      <c r="B32" s="8"/>
    </row>
    <row r="33" spans="2:9" x14ac:dyDescent="0.3">
      <c r="B33" s="8" t="s">
        <v>358</v>
      </c>
      <c r="D33" s="80" t="s">
        <v>355</v>
      </c>
      <c r="E33" s="27">
        <f>IF(OR(E31=0,E31=""),0,IF(G31="Einheit wählen","",E31*VLOOKUP(G31,Lookup!$Y$4:$Z$7,2,FALSE)))</f>
        <v>247.5</v>
      </c>
      <c r="F33" t="s">
        <v>51</v>
      </c>
      <c r="G33" t="str">
        <f>"Papier "&amp;$I$31</f>
        <v>Papier pro Schulwoche</v>
      </c>
      <c r="H33" s="74"/>
    </row>
    <row r="34" spans="2:9" x14ac:dyDescent="0.3">
      <c r="B34" s="8"/>
      <c r="D34" s="80" t="s">
        <v>355</v>
      </c>
      <c r="E34" s="27">
        <f>IF(OR(E31=0,E31=""),0,IF(OR(G31="Einheit wählen",I31="Zeitraum wählen"),"",E33*VLOOKUP(I31,Lookup!$AA$4:$AB$7,2,FALSE)))</f>
        <v>9157.5</v>
      </c>
      <c r="F34" t="s">
        <v>51</v>
      </c>
      <c r="G34" t="s">
        <v>359</v>
      </c>
      <c r="H34" s="74"/>
    </row>
    <row r="35" spans="2:9" ht="15" thickBot="1" x14ac:dyDescent="0.35">
      <c r="B35" s="8"/>
      <c r="D35" s="80"/>
      <c r="E35" s="74"/>
      <c r="H35" s="74"/>
    </row>
    <row r="36" spans="2:9" ht="15.6" thickTop="1" thickBot="1" x14ac:dyDescent="0.35">
      <c r="B36" s="8" t="s">
        <v>360</v>
      </c>
      <c r="G36" s="252" t="s">
        <v>363</v>
      </c>
      <c r="I36" s="180">
        <f>VLOOKUP(G36,Lookup!$AC$4:$AD$7,2,FALSE)</f>
        <v>0.88600000000000001</v>
      </c>
    </row>
    <row r="37" spans="2:9" ht="15" thickTop="1" x14ac:dyDescent="0.3">
      <c r="B37" s="8"/>
    </row>
    <row r="38" spans="2:9" ht="15.6" x14ac:dyDescent="0.35">
      <c r="B38" s="8" t="s">
        <v>523</v>
      </c>
      <c r="G38" s="42">
        <f>IF(OR(E31=0,E31=""),0,IF(OR(G31="Einheit wählen",I31="Zeitraum wählen"),"Einheit oder Zeitraum fehlt",E34*I36))</f>
        <v>8113.5450000000001</v>
      </c>
      <c r="H38" t="s">
        <v>520</v>
      </c>
    </row>
    <row r="39" spans="2:9" x14ac:dyDescent="0.3">
      <c r="B39" s="8"/>
      <c r="G39" s="38" t="str">
        <f>IF(AND(G38&lt;&gt;"Einheit oder Zeitraum fehlt",G38&lt;&gt;0),IF(G38&lt;0.3*$G$96,"Achtung, sehr niedriger Verbrauch. Siehe Vergleichswerte unten.",IF(G38&gt;3*$G$96,"Achtung, sehr hoher Verbrauch. Siehe Vergleichswerte unten.","")),"")</f>
        <v/>
      </c>
    </row>
    <row r="40" spans="2:9" x14ac:dyDescent="0.3"/>
    <row r="41" spans="2:9" x14ac:dyDescent="0.3"/>
    <row r="42" spans="2:9" x14ac:dyDescent="0.3"/>
    <row r="43" spans="2:9" ht="18" thickBot="1" x14ac:dyDescent="0.4">
      <c r="B43" s="3" t="s">
        <v>402</v>
      </c>
      <c r="C43" s="3"/>
      <c r="D43" s="3"/>
      <c r="E43" s="3"/>
    </row>
    <row r="44" spans="2:9" ht="15" thickTop="1" x14ac:dyDescent="0.3"/>
    <row r="45" spans="2:9" ht="15" thickBot="1" x14ac:dyDescent="0.35">
      <c r="E45" t="s">
        <v>345</v>
      </c>
      <c r="F45" s="78" t="s">
        <v>344</v>
      </c>
      <c r="G45" t="s">
        <v>46</v>
      </c>
      <c r="H45" s="79" t="s">
        <v>352</v>
      </c>
      <c r="I45" t="s">
        <v>346</v>
      </c>
    </row>
    <row r="46" spans="2:9" ht="15.6" thickTop="1" thickBot="1" x14ac:dyDescent="0.35">
      <c r="B46" s="8" t="s">
        <v>357</v>
      </c>
      <c r="E46" s="192"/>
      <c r="F46" s="78" t="s">
        <v>344</v>
      </c>
      <c r="G46" s="252" t="s">
        <v>343</v>
      </c>
      <c r="H46" s="79" t="s">
        <v>352</v>
      </c>
      <c r="I46" s="252" t="s">
        <v>348</v>
      </c>
    </row>
    <row r="47" spans="2:9" ht="8.4" customHeight="1" thickTop="1" x14ac:dyDescent="0.3">
      <c r="B47" s="8"/>
    </row>
    <row r="48" spans="2:9" x14ac:dyDescent="0.3">
      <c r="B48" s="8" t="s">
        <v>358</v>
      </c>
      <c r="D48" s="80" t="s">
        <v>355</v>
      </c>
      <c r="E48" s="27">
        <f>IF(OR(E46=0,E46=""),0,IF(G46="Einheit wählen","",E46*VLOOKUP(G46,Lookup!$Y$12:$Z$16,2,FALSE)))</f>
        <v>0</v>
      </c>
      <c r="F48" t="s">
        <v>51</v>
      </c>
      <c r="G48" t="str">
        <f>"Papier "&amp;$I$46</f>
        <v>Papier Zeitraum wählen</v>
      </c>
      <c r="H48" s="74"/>
    </row>
    <row r="49" spans="2:9" x14ac:dyDescent="0.3">
      <c r="B49" s="8"/>
      <c r="D49" s="80" t="s">
        <v>355</v>
      </c>
      <c r="E49" s="27">
        <f>IF(OR(E46=0,E46=""),0,IF(OR(G46="Einheit wählen",I46="Zeitraum wählen"),"",E48*VLOOKUP(I46,Lookup!$AA$4:$AB$7,2,FALSE)))</f>
        <v>0</v>
      </c>
      <c r="F49" t="s">
        <v>51</v>
      </c>
      <c r="G49" t="s">
        <v>359</v>
      </c>
      <c r="H49" s="74"/>
    </row>
    <row r="50" spans="2:9" ht="15" thickBot="1" x14ac:dyDescent="0.35">
      <c r="B50" s="8"/>
      <c r="D50" s="80"/>
      <c r="E50" s="74"/>
      <c r="H50" s="74"/>
    </row>
    <row r="51" spans="2:9" ht="15.6" thickTop="1" thickBot="1" x14ac:dyDescent="0.35">
      <c r="B51" s="8" t="s">
        <v>360</v>
      </c>
      <c r="G51" s="252" t="s">
        <v>361</v>
      </c>
      <c r="I51" s="180">
        <f>VLOOKUP(G51,Lookup!$AC$4:$AD$7,2,FALSE)</f>
        <v>1.06</v>
      </c>
    </row>
    <row r="52" spans="2:9" ht="15" thickTop="1" x14ac:dyDescent="0.3">
      <c r="B52" s="8"/>
    </row>
    <row r="53" spans="2:9" ht="15.6" x14ac:dyDescent="0.35">
      <c r="B53" s="8" t="s">
        <v>523</v>
      </c>
      <c r="G53" s="42">
        <f>IF(OR(E46=0,E46=""),0,IF(OR(G46="Einheit wählen",I46="Zeitraum wählen"),"Einheit oder Zeitraum fehlt",E49*I51))</f>
        <v>0</v>
      </c>
      <c r="H53" t="s">
        <v>520</v>
      </c>
    </row>
    <row r="54" spans="2:9" x14ac:dyDescent="0.3">
      <c r="B54" s="8"/>
      <c r="G54" s="38" t="str">
        <f>IF(AND(G53&lt;&gt;"Einheit oder Zeitraum fehlt",G53&lt;&gt;0),IF(G53&lt;0.3*$G$97,"Achtung, sehr niedriger Verbrauch. Siehe Vergleichswerte unten.",IF(G53&gt;3*$G$97,"Achtung, sehr hoher Verbrauch. Siehe Vergleichswerte unten.","")),"")</f>
        <v/>
      </c>
    </row>
    <row r="55" spans="2:9" x14ac:dyDescent="0.3">
      <c r="B55" s="8"/>
    </row>
    <row r="56" spans="2:9" x14ac:dyDescent="0.3"/>
    <row r="57" spans="2:9" ht="18" thickBot="1" x14ac:dyDescent="0.4">
      <c r="B57" s="3" t="s">
        <v>1198</v>
      </c>
      <c r="C57" s="3"/>
      <c r="D57" s="3"/>
      <c r="E57" s="3"/>
    </row>
    <row r="58" spans="2:9" ht="15" thickTop="1" x14ac:dyDescent="0.3"/>
    <row r="59" spans="2:9" ht="15" thickBot="1" x14ac:dyDescent="0.35">
      <c r="E59" t="s">
        <v>345</v>
      </c>
      <c r="F59" s="78" t="s">
        <v>344</v>
      </c>
      <c r="G59" t="s">
        <v>46</v>
      </c>
      <c r="H59" s="79" t="s">
        <v>352</v>
      </c>
      <c r="I59" t="s">
        <v>346</v>
      </c>
    </row>
    <row r="60" spans="2:9" ht="15.6" thickTop="1" thickBot="1" x14ac:dyDescent="0.35">
      <c r="B60" s="8" t="s">
        <v>357</v>
      </c>
      <c r="E60" s="192"/>
      <c r="F60" s="78" t="s">
        <v>344</v>
      </c>
      <c r="G60" s="252" t="s">
        <v>343</v>
      </c>
      <c r="H60" s="79" t="s">
        <v>352</v>
      </c>
      <c r="I60" s="252" t="s">
        <v>348</v>
      </c>
    </row>
    <row r="61" spans="2:9" ht="8.4" customHeight="1" thickTop="1" x14ac:dyDescent="0.3">
      <c r="B61" s="8"/>
    </row>
    <row r="62" spans="2:9" x14ac:dyDescent="0.3">
      <c r="B62" s="8" t="s">
        <v>358</v>
      </c>
      <c r="D62" s="80" t="s">
        <v>355</v>
      </c>
      <c r="E62" s="27">
        <f>IF(OR(E60=0,E60=""),0,IF(G60="Einheit wählen","",E60*VLOOKUP(G60,Lookup!$Y$20:$Z$23,2,FALSE)))</f>
        <v>0</v>
      </c>
      <c r="F62" t="s">
        <v>51</v>
      </c>
      <c r="G62" t="str">
        <f>"Papier "&amp;$I$60</f>
        <v>Papier Zeitraum wählen</v>
      </c>
      <c r="H62" s="74"/>
    </row>
    <row r="63" spans="2:9" x14ac:dyDescent="0.3">
      <c r="B63" s="8"/>
      <c r="D63" s="80" t="s">
        <v>355</v>
      </c>
      <c r="E63" s="27">
        <f>IF(OR(E60=0,E60=""),0,IF(OR(G60="Einheit wählen",I60="Zeitraum wählen"),"",E62*VLOOKUP(I60,Lookup!$AA$4:$AB$7,2,FALSE)))</f>
        <v>0</v>
      </c>
      <c r="F63" t="s">
        <v>51</v>
      </c>
      <c r="G63" t="s">
        <v>359</v>
      </c>
      <c r="H63" s="74"/>
    </row>
    <row r="64" spans="2:9" ht="15" thickBot="1" x14ac:dyDescent="0.35">
      <c r="B64" s="8"/>
      <c r="D64" s="80"/>
      <c r="E64" s="74"/>
      <c r="H64" s="74"/>
    </row>
    <row r="65" spans="2:9" ht="15.6" thickTop="1" thickBot="1" x14ac:dyDescent="0.35">
      <c r="B65" s="8" t="s">
        <v>360</v>
      </c>
      <c r="G65" s="252" t="s">
        <v>361</v>
      </c>
      <c r="I65" s="180">
        <f>VLOOKUP(G65,Lookup!$AC$4:$AD$7,2,FALSE)</f>
        <v>1.06</v>
      </c>
    </row>
    <row r="66" spans="2:9" ht="15" thickTop="1" x14ac:dyDescent="0.3">
      <c r="B66" s="8"/>
    </row>
    <row r="67" spans="2:9" ht="15.6" x14ac:dyDescent="0.35">
      <c r="B67" s="8" t="s">
        <v>523</v>
      </c>
      <c r="G67" s="42">
        <f>IF(OR(E60=0,E60=""),0,IF(OR(G60="Einheit wählen",I60="Zeitraum wählen"),"Einheit oder Zeitraum fehlt",E63*I65))</f>
        <v>0</v>
      </c>
      <c r="H67" t="s">
        <v>520</v>
      </c>
    </row>
    <row r="68" spans="2:9" x14ac:dyDescent="0.3">
      <c r="B68" s="8"/>
      <c r="G68" s="38" t="str">
        <f>IF(AND(G67&lt;&gt;"Einheit oder Zeitraum fehlt",G67&lt;&gt;0),IF(G67&lt;0.3*$G$98,"Achtung, sehr niedriger Verbrauch. Siehe Vergleichswerte unten.",IF(G67&gt;3*$G$98,"Achtung, sehr hoher Verbrauch. Siehe Vergleichswerte unten.","")),"")</f>
        <v/>
      </c>
    </row>
    <row r="69" spans="2:9" x14ac:dyDescent="0.3"/>
    <row r="70" spans="2:9" x14ac:dyDescent="0.3"/>
    <row r="71" spans="2:9" ht="18" thickBot="1" x14ac:dyDescent="0.4">
      <c r="B71" s="3" t="s">
        <v>449</v>
      </c>
      <c r="C71" s="3"/>
      <c r="D71" s="3"/>
      <c r="E71" s="3"/>
    </row>
    <row r="72" spans="2:9" ht="15" thickTop="1" x14ac:dyDescent="0.3"/>
    <row r="73" spans="2:9" ht="15" thickBot="1" x14ac:dyDescent="0.35">
      <c r="E73" t="s">
        <v>345</v>
      </c>
      <c r="F73" s="78" t="s">
        <v>344</v>
      </c>
      <c r="G73" t="s">
        <v>46</v>
      </c>
      <c r="H73" s="79" t="s">
        <v>352</v>
      </c>
      <c r="I73" t="s">
        <v>346</v>
      </c>
    </row>
    <row r="74" spans="2:9" ht="15.6" thickTop="1" thickBot="1" x14ac:dyDescent="0.35">
      <c r="B74" s="8" t="s">
        <v>357</v>
      </c>
      <c r="E74" s="192"/>
      <c r="F74" s="78" t="s">
        <v>344</v>
      </c>
      <c r="G74" s="252" t="s">
        <v>343</v>
      </c>
      <c r="H74" s="79" t="s">
        <v>352</v>
      </c>
      <c r="I74" s="252" t="s">
        <v>348</v>
      </c>
    </row>
    <row r="75" spans="2:9" ht="8.4" customHeight="1" thickTop="1" x14ac:dyDescent="0.3">
      <c r="B75" s="8"/>
    </row>
    <row r="76" spans="2:9" x14ac:dyDescent="0.3">
      <c r="B76" s="8" t="s">
        <v>358</v>
      </c>
      <c r="D76" s="80" t="s">
        <v>355</v>
      </c>
      <c r="E76" s="27">
        <f>IF(OR(E74=0,E74=""),0,IF(G74="Einheit wählen","",E74*VLOOKUP(G74,Lookup!$Y$4:$Z$7,2,FALSE)))</f>
        <v>0</v>
      </c>
      <c r="F76" t="s">
        <v>51</v>
      </c>
      <c r="G76" t="str">
        <f>"Papier "&amp;$I$74</f>
        <v>Papier Zeitraum wählen</v>
      </c>
      <c r="H76" s="74"/>
    </row>
    <row r="77" spans="2:9" x14ac:dyDescent="0.3">
      <c r="B77" s="8"/>
      <c r="D77" s="80" t="s">
        <v>355</v>
      </c>
      <c r="E77" s="27">
        <f>IF(OR(E74=0,E74=""),0,IF(OR(G74="Einheit wählen",I74="Zeitraum wählen"),"",E76*VLOOKUP(I74,Lookup!$AA$4:$AB$7,2,FALSE)))</f>
        <v>0</v>
      </c>
      <c r="F77" t="s">
        <v>51</v>
      </c>
      <c r="G77" t="s">
        <v>359</v>
      </c>
      <c r="H77" s="74"/>
    </row>
    <row r="78" spans="2:9" ht="15" thickBot="1" x14ac:dyDescent="0.35">
      <c r="B78" s="8"/>
      <c r="D78" s="80"/>
      <c r="E78" s="74"/>
      <c r="H78" s="74"/>
    </row>
    <row r="79" spans="2:9" ht="15.6" thickTop="1" thickBot="1" x14ac:dyDescent="0.35">
      <c r="B79" s="8" t="s">
        <v>360</v>
      </c>
      <c r="G79" s="252" t="s">
        <v>361</v>
      </c>
      <c r="I79" s="180">
        <f>VLOOKUP(G79,Lookup!$AC$4:$AD$7,2,FALSE)</f>
        <v>1.06</v>
      </c>
    </row>
    <row r="80" spans="2:9" ht="15" thickTop="1" x14ac:dyDescent="0.3">
      <c r="B80" s="8"/>
    </row>
    <row r="81" spans="2:10" ht="15.6" x14ac:dyDescent="0.35">
      <c r="B81" s="8" t="s">
        <v>523</v>
      </c>
      <c r="G81" s="42">
        <f>IF(OR(E74=0,E74=""),0,IF(OR(G74="Einheit wählen",I74="Zeitraum wählen"),"Einheit oder Zeitraum fehlt",E77*I79))</f>
        <v>0</v>
      </c>
      <c r="H81" t="s">
        <v>520</v>
      </c>
    </row>
    <row r="82" spans="2:10" x14ac:dyDescent="0.3">
      <c r="G82" s="38" t="str">
        <f>IF(AND(G81&lt;&gt;"Einheit oder Zeitraum fehlt",G81&lt;&gt;0),IF(G81&lt;0.3*$G$99,"Achtung, sehr niedriger Verbrauch. Siehe Vergleichswerte unten.",IF(G81&gt;3*$G$99,"Achtung, sehr hoher Verbrauch. Siehe Vergleichswerte unten.","")),"")</f>
        <v/>
      </c>
    </row>
    <row r="83" spans="2:10" x14ac:dyDescent="0.3"/>
    <row r="84" spans="2:10" x14ac:dyDescent="0.3"/>
    <row r="85" spans="2:10" x14ac:dyDescent="0.3"/>
    <row r="86" spans="2:10" ht="18" thickBot="1" x14ac:dyDescent="0.4">
      <c r="B86" s="3" t="s">
        <v>961</v>
      </c>
      <c r="C86" s="3"/>
      <c r="D86" s="3"/>
      <c r="E86" s="3"/>
      <c r="F86" s="3"/>
    </row>
    <row r="87" spans="2:10" ht="15" thickTop="1" x14ac:dyDescent="0.3"/>
    <row r="88" spans="2:10" ht="43.2" customHeight="1" x14ac:dyDescent="0.3">
      <c r="B88" s="669" t="s">
        <v>973</v>
      </c>
      <c r="C88" s="670"/>
      <c r="D88" s="670"/>
      <c r="E88" s="670"/>
      <c r="F88" s="670"/>
      <c r="G88" s="670"/>
      <c r="H88" s="670"/>
      <c r="I88" s="670"/>
      <c r="J88" s="671"/>
    </row>
    <row r="89" spans="2:10" ht="43.2" customHeight="1" x14ac:dyDescent="0.3">
      <c r="B89" s="672"/>
      <c r="C89" s="673"/>
      <c r="D89" s="673"/>
      <c r="E89" s="673"/>
      <c r="F89" s="673"/>
      <c r="G89" s="673"/>
      <c r="H89" s="673"/>
      <c r="I89" s="673"/>
      <c r="J89" s="674"/>
    </row>
    <row r="90" spans="2:10" ht="7.8" customHeight="1" x14ac:dyDescent="0.3"/>
    <row r="91" spans="2:10" x14ac:dyDescent="0.3"/>
    <row r="92" spans="2:10" ht="9.6" customHeight="1" x14ac:dyDescent="0.3"/>
    <row r="93" spans="2:10" x14ac:dyDescent="0.3">
      <c r="B93" s="8" t="str">
        <f>"Abschätzung des durchschnittlichen Papierverbrauchs für eine Schule mit "&amp;AnzahlLehrer+AnzahlSchueler &amp;" Schüler:innen und Lehrer:innen:"</f>
        <v>Abschätzung des durchschnittlichen Papierverbrauchs für eine Schule mit 1098 Schüler:innen und Lehrer:innen:</v>
      </c>
    </row>
    <row r="94" spans="2:10" x14ac:dyDescent="0.3"/>
    <row r="95" spans="2:10" ht="43.2" x14ac:dyDescent="0.3">
      <c r="B95" s="123" t="s">
        <v>962</v>
      </c>
      <c r="C95" s="364" t="s">
        <v>963</v>
      </c>
      <c r="D95" s="31"/>
      <c r="E95" s="364" t="s">
        <v>964</v>
      </c>
      <c r="F95" s="31"/>
      <c r="G95" s="364" t="s">
        <v>965</v>
      </c>
      <c r="H95" s="364" t="s">
        <v>974</v>
      </c>
      <c r="I95" s="364" t="s">
        <v>975</v>
      </c>
    </row>
    <row r="96" spans="2:10" x14ac:dyDescent="0.3">
      <c r="B96" s="123" t="s">
        <v>634</v>
      </c>
      <c r="C96" s="327">
        <f>AnzahlLehrer+AnzahlSchueler</f>
        <v>1098</v>
      </c>
      <c r="D96" s="327" t="s">
        <v>344</v>
      </c>
      <c r="E96" s="327">
        <v>2.88</v>
      </c>
      <c r="F96" s="327" t="s">
        <v>355</v>
      </c>
      <c r="G96" s="365">
        <f>E96*C96</f>
        <v>3162.24</v>
      </c>
      <c r="H96" s="367">
        <f>VLOOKUP(H23,Lookup!$AC$4:$AD$7,2,FALSE)</f>
        <v>1.06</v>
      </c>
      <c r="I96" s="368">
        <f>H96*G96</f>
        <v>3351.9744000000001</v>
      </c>
    </row>
    <row r="97" spans="2:9" x14ac:dyDescent="0.3">
      <c r="B97" s="123" t="s">
        <v>635</v>
      </c>
      <c r="C97" s="327">
        <f>AnzahlLehrer+AnzahlSchueler</f>
        <v>1098</v>
      </c>
      <c r="D97" s="327" t="s">
        <v>344</v>
      </c>
      <c r="E97" s="327">
        <v>1.06</v>
      </c>
      <c r="F97" s="327" t="s">
        <v>355</v>
      </c>
      <c r="G97" s="365">
        <f>E97*C97</f>
        <v>1163.8800000000001</v>
      </c>
      <c r="H97" s="367">
        <f>VLOOKUP(H24,Lookup!$AC$4:$AD$7,2,FALSE)</f>
        <v>1.06</v>
      </c>
      <c r="I97" s="368">
        <f>H97*G97</f>
        <v>1233.7128000000002</v>
      </c>
    </row>
    <row r="98" spans="2:9" x14ac:dyDescent="0.3">
      <c r="B98" s="123" t="s">
        <v>1199</v>
      </c>
      <c r="C98" s="327">
        <f>AnzahlLehrer+AnzahlSchueler</f>
        <v>1098</v>
      </c>
      <c r="D98" s="327" t="s">
        <v>344</v>
      </c>
      <c r="E98" s="327">
        <v>0.42</v>
      </c>
      <c r="F98" s="327" t="s">
        <v>355</v>
      </c>
      <c r="G98" s="365">
        <f>E98*C98</f>
        <v>461.15999999999997</v>
      </c>
      <c r="H98" s="367">
        <f>VLOOKUP(H25,Lookup!$AC$4:$AD$7,2,FALSE)</f>
        <v>1.06</v>
      </c>
      <c r="I98" s="368">
        <f>H98*G98</f>
        <v>488.82959999999997</v>
      </c>
    </row>
    <row r="99" spans="2:9" x14ac:dyDescent="0.3">
      <c r="B99" s="123" t="s">
        <v>636</v>
      </c>
      <c r="C99" s="327">
        <f>AnzahlLehrer+AnzahlSchueler</f>
        <v>1098</v>
      </c>
      <c r="D99" s="327" t="s">
        <v>344</v>
      </c>
      <c r="E99" s="327">
        <v>0.27</v>
      </c>
      <c r="F99" s="327" t="s">
        <v>355</v>
      </c>
      <c r="G99" s="365">
        <f>E99*C99</f>
        <v>296.46000000000004</v>
      </c>
      <c r="H99" s="367">
        <f>VLOOKUP(H26,Lookup!$AC$4:$AD$7,2,FALSE)</f>
        <v>1.06</v>
      </c>
      <c r="I99" s="368">
        <f>H99*G99</f>
        <v>314.24760000000003</v>
      </c>
    </row>
    <row r="100" spans="2:9" x14ac:dyDescent="0.3">
      <c r="E100" s="78"/>
      <c r="F100" s="78"/>
      <c r="G100" s="369" t="s">
        <v>976</v>
      </c>
      <c r="H100" s="78"/>
      <c r="I100" s="369" t="s">
        <v>337</v>
      </c>
    </row>
    <row r="101" spans="2:9" x14ac:dyDescent="0.3">
      <c r="G101" s="370">
        <f>SUM(G96:G99)</f>
        <v>5083.74</v>
      </c>
      <c r="H101" s="78"/>
      <c r="I101" s="371">
        <f>SUM(I96:I99)</f>
        <v>5388.7644</v>
      </c>
    </row>
    <row r="102" spans="2:9" x14ac:dyDescent="0.3"/>
    <row r="103" spans="2:9" x14ac:dyDescent="0.3"/>
  </sheetData>
  <sheetProtection algorithmName="SHA-512" hashValue="JEretU7ApuP46wtEuGk9mMS/VWUjbTjjhCE5K/Nab49pfdoC+EhoZ8oIHLuPa0E0w/JX5N/V6HWI+/IfY/b90Q==" saltValue="Q22WeAvbxtyKK0jlM77nDQ==" spinCount="100000" sheet="1" objects="1" scenarios="1"/>
  <mergeCells count="10">
    <mergeCell ref="D26:G26"/>
    <mergeCell ref="H26:I26"/>
    <mergeCell ref="B88:J89"/>
    <mergeCell ref="B19:J20"/>
    <mergeCell ref="D23:G23"/>
    <mergeCell ref="H23:I23"/>
    <mergeCell ref="D24:G24"/>
    <mergeCell ref="H24:I24"/>
    <mergeCell ref="D25:G25"/>
    <mergeCell ref="H25:I25"/>
  </mergeCells>
  <conditionalFormatting sqref="B19">
    <cfRule type="duplicateValues" dxfId="2" priority="1"/>
  </conditionalFormatting>
  <conditionalFormatting sqref="B88">
    <cfRule type="duplicateValues" dxfId="1" priority="2"/>
  </conditionalFormatting>
  <dataValidations count="1">
    <dataValidation type="list" allowBlank="1" showInputMessage="1" showErrorMessage="1" sqref="D23:D26">
      <formula1>"tatsächliche Verbrauchswerte eingeben, Durchschnittswerte anderer Schulen verwenden"</formula1>
    </dataValidation>
  </dataValidations>
  <hyperlinks>
    <hyperlink ref="A5" location="Inhalt!A1" display="&lt;= Start"/>
  </hyperlinks>
  <pageMargins left="0.7" right="0.7" top="0.75" bottom="0.75" header="0.3" footer="0.3"/>
  <pageSetup paperSize="9" orientation="portrait" horizontalDpi="4294967295" verticalDpi="4294967295"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Lookup!$AC$4:$AC$7</xm:f>
          </x14:formula1>
          <xm:sqref>H23:I26 G36 G51 G65 G79</xm:sqref>
        </x14:dataValidation>
        <x14:dataValidation type="list" allowBlank="1" showInputMessage="1" showErrorMessage="1">
          <x14:formula1>
            <xm:f>Lookup!$Y$4:$Y$7</xm:f>
          </x14:formula1>
          <xm:sqref>G31 G74</xm:sqref>
        </x14:dataValidation>
        <x14:dataValidation type="list" allowBlank="1" showInputMessage="1" showErrorMessage="1">
          <x14:formula1>
            <xm:f>Lookup!$AA$4:$AA$7</xm:f>
          </x14:formula1>
          <xm:sqref>I31 I46 I60 I74</xm:sqref>
        </x14:dataValidation>
        <x14:dataValidation type="list" allowBlank="1" showInputMessage="1" showErrorMessage="1">
          <x14:formula1>
            <xm:f>Lookup!$Y$20:$Y$23</xm:f>
          </x14:formula1>
          <xm:sqref>G60</xm:sqref>
        </x14:dataValidation>
        <x14:dataValidation type="list" allowBlank="1" showInputMessage="1" showErrorMessage="1">
          <x14:formula1>
            <xm:f>Lookup!$Y$12:$Y$16</xm:f>
          </x14:formula1>
          <xm:sqref>G46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94B4D"/>
  </sheetPr>
  <dimension ref="A1:P132"/>
  <sheetViews>
    <sheetView showGridLines="0" workbookViewId="0">
      <selection activeCell="I3" sqref="I3"/>
    </sheetView>
  </sheetViews>
  <sheetFormatPr baseColWidth="10" defaultColWidth="0" defaultRowHeight="14.4" x14ac:dyDescent="0.3"/>
  <cols>
    <col min="1" max="1" width="8.88671875" customWidth="1"/>
    <col min="2" max="2" width="16.33203125" customWidth="1"/>
    <col min="3" max="4" width="8.88671875" customWidth="1"/>
    <col min="5" max="5" width="8.21875" customWidth="1"/>
    <col min="6" max="6" width="14.44140625" customWidth="1"/>
    <col min="7" max="7" width="24.44140625" customWidth="1"/>
    <col min="8" max="8" width="6.88671875" customWidth="1"/>
    <col min="9" max="9" width="23.44140625" customWidth="1"/>
    <col min="10" max="11" width="3.33203125" customWidth="1"/>
    <col min="12" max="16" width="0" hidden="1" customWidth="1"/>
    <col min="17" max="16384" width="8.88671875" hidden="1"/>
  </cols>
  <sheetData>
    <row r="1" spans="1:11" ht="12" customHeight="1" x14ac:dyDescent="0.3">
      <c r="A1" s="1"/>
      <c r="B1" s="1"/>
      <c r="C1" s="1"/>
      <c r="D1" s="1"/>
      <c r="E1" s="1"/>
      <c r="F1" s="1"/>
      <c r="G1" s="1"/>
      <c r="H1" s="1"/>
      <c r="I1" s="1"/>
      <c r="J1" s="1"/>
      <c r="K1" s="1"/>
    </row>
    <row r="2" spans="1:11" ht="12" customHeight="1" x14ac:dyDescent="0.3">
      <c r="A2" s="1"/>
      <c r="B2" s="1"/>
      <c r="C2" s="1"/>
      <c r="D2" s="1"/>
      <c r="E2" s="1"/>
      <c r="F2" s="1"/>
      <c r="G2" s="1"/>
      <c r="H2" s="1"/>
      <c r="I2" s="1"/>
      <c r="J2" s="1"/>
      <c r="K2" s="1"/>
    </row>
    <row r="3" spans="1:11" ht="32.4" customHeight="1" x14ac:dyDescent="0.55000000000000004">
      <c r="A3" s="1"/>
      <c r="B3" s="1"/>
      <c r="C3" s="1"/>
      <c r="D3" s="2" t="s">
        <v>967</v>
      </c>
      <c r="E3" s="1"/>
      <c r="F3" s="1"/>
      <c r="G3" s="2"/>
      <c r="H3" s="2"/>
      <c r="I3" s="1"/>
      <c r="J3" s="1"/>
      <c r="K3" s="2"/>
    </row>
    <row r="4" spans="1:11" ht="18.45" customHeight="1" thickBot="1" x14ac:dyDescent="0.4">
      <c r="A4" s="480"/>
      <c r="B4" s="481"/>
      <c r="C4" s="480"/>
      <c r="D4" s="482" t="str">
        <f>NameDerSchule</f>
        <v>Schule ABC</v>
      </c>
      <c r="E4" s="480"/>
      <c r="F4" s="480"/>
      <c r="G4" s="480"/>
      <c r="H4" s="480"/>
      <c r="I4" s="480"/>
      <c r="J4" s="480"/>
      <c r="K4" s="480"/>
    </row>
    <row r="5" spans="1:11" ht="15" thickTop="1" x14ac:dyDescent="0.3">
      <c r="A5" s="26" t="s">
        <v>63</v>
      </c>
    </row>
    <row r="7" spans="1:11" ht="20.399999999999999" thickBot="1" x14ac:dyDescent="0.45">
      <c r="B7" s="478" t="s">
        <v>1055</v>
      </c>
      <c r="C7" s="478"/>
      <c r="D7" s="478"/>
      <c r="E7" s="478"/>
      <c r="F7" s="478"/>
      <c r="G7" s="478"/>
    </row>
    <row r="8" spans="1:11" ht="15" thickTop="1" x14ac:dyDescent="0.3"/>
    <row r="9" spans="1:11" x14ac:dyDescent="0.3">
      <c r="B9" t="s">
        <v>1042</v>
      </c>
      <c r="G9" s="112">
        <f>Beschaffung_1!$G$13*VerbrauchsanteilSchulePapier</f>
        <v>4056.7725</v>
      </c>
    </row>
    <row r="10" spans="1:11" x14ac:dyDescent="0.3">
      <c r="B10" t="s">
        <v>968</v>
      </c>
      <c r="G10" s="112">
        <f>G33*VerbrauchsanteilSchuleWasser</f>
        <v>2817.1800000000003</v>
      </c>
    </row>
    <row r="11" spans="1:11" x14ac:dyDescent="0.3">
      <c r="B11" t="s">
        <v>1054</v>
      </c>
      <c r="G11" s="112">
        <f>G48*VerbrauchsanteilSchuleRestmüll</f>
        <v>50.252399999999994</v>
      </c>
    </row>
    <row r="12" spans="1:11" x14ac:dyDescent="0.3">
      <c r="B12" t="s">
        <v>1133</v>
      </c>
      <c r="G12" s="112">
        <f>G58*VerbrauchsanteilSchuleMöbel</f>
        <v>5500</v>
      </c>
    </row>
    <row r="13" spans="1:11" x14ac:dyDescent="0.3">
      <c r="B13" t="s">
        <v>1132</v>
      </c>
      <c r="G13" s="112">
        <f>G93*VerbrauchsanteilSchuleIT</f>
        <v>1734.5</v>
      </c>
    </row>
    <row r="14" spans="1:11" x14ac:dyDescent="0.3">
      <c r="B14" t="s">
        <v>1060</v>
      </c>
      <c r="G14" s="112">
        <f>G109*VerbrauchsanteilSchuleSchulbücher</f>
        <v>1665</v>
      </c>
    </row>
    <row r="16" spans="1:11" ht="20.399999999999999" thickBot="1" x14ac:dyDescent="0.45">
      <c r="B16" s="478" t="s">
        <v>968</v>
      </c>
      <c r="C16" s="478"/>
      <c r="D16" s="478"/>
      <c r="E16" s="478"/>
      <c r="F16" s="478"/>
      <c r="G16" s="478"/>
    </row>
    <row r="17" spans="2:8" ht="15" thickTop="1" x14ac:dyDescent="0.3"/>
    <row r="18" spans="2:8" x14ac:dyDescent="0.3">
      <c r="B18" t="s">
        <v>977</v>
      </c>
    </row>
    <row r="20" spans="2:8" x14ac:dyDescent="0.3">
      <c r="B20" s="8" t="s">
        <v>1235</v>
      </c>
      <c r="G20" s="192">
        <v>999</v>
      </c>
      <c r="H20" t="s">
        <v>447</v>
      </c>
    </row>
    <row r="21" spans="2:8" x14ac:dyDescent="0.3">
      <c r="B21" s="458" t="str">
        <f>IF(G20&lt;&gt;0,IF(G30&lt;MinWasserverbrauchProPerson,"Achtung, sehr niedriger Verbrauch.",IF(G30&gt;MaxWasserverbrauchProPerson,"Achtung, sehr hoher Verbrauch.","")),"")</f>
        <v>Achtung, sehr niedriger Verbrauch.</v>
      </c>
    </row>
    <row r="22" spans="2:8" ht="15" thickBot="1" x14ac:dyDescent="0.35">
      <c r="B22" t="s">
        <v>569</v>
      </c>
    </row>
    <row r="23" spans="2:8" x14ac:dyDescent="0.3">
      <c r="B23" s="212"/>
      <c r="C23" s="213"/>
      <c r="D23" s="213"/>
      <c r="E23" s="213"/>
      <c r="F23" s="213"/>
      <c r="G23" s="213"/>
      <c r="H23" s="214"/>
    </row>
    <row r="24" spans="2:8" x14ac:dyDescent="0.3">
      <c r="B24" s="215" t="s">
        <v>35</v>
      </c>
      <c r="G24" s="189">
        <v>44197</v>
      </c>
      <c r="H24" s="216"/>
    </row>
    <row r="25" spans="2:8" x14ac:dyDescent="0.3">
      <c r="B25" s="215" t="s">
        <v>1236</v>
      </c>
      <c r="G25" s="189">
        <v>44561</v>
      </c>
      <c r="H25" s="216"/>
    </row>
    <row r="26" spans="2:8" x14ac:dyDescent="0.3">
      <c r="B26" s="215" t="s">
        <v>1241</v>
      </c>
      <c r="G26" s="27">
        <f>IF(AND(G24&lt;&gt;"",G25&lt;&gt;""),G25-G24+1,365)</f>
        <v>365</v>
      </c>
      <c r="H26" s="216" t="s">
        <v>568</v>
      </c>
    </row>
    <row r="27" spans="2:8" x14ac:dyDescent="0.3">
      <c r="B27" s="215" t="s">
        <v>1468</v>
      </c>
      <c r="G27" s="27">
        <f>G20/G26*365</f>
        <v>999.00000000000011</v>
      </c>
      <c r="H27" s="216" t="s">
        <v>447</v>
      </c>
    </row>
    <row r="28" spans="2:8" ht="13.5" customHeight="1" thickBot="1" x14ac:dyDescent="0.35">
      <c r="B28" s="217"/>
      <c r="C28" s="218"/>
      <c r="D28" s="218"/>
      <c r="E28" s="218"/>
      <c r="F28" s="218"/>
      <c r="G28" s="218"/>
      <c r="H28" s="219"/>
    </row>
    <row r="30" spans="2:8" x14ac:dyDescent="0.3">
      <c r="B30" t="s">
        <v>1041</v>
      </c>
      <c r="G30" s="400">
        <f>ROUND(G27/(AnzahlLehrer+AnzahlSchueler)*1000,0)</f>
        <v>910</v>
      </c>
    </row>
    <row r="31" spans="2:8" ht="15.3" customHeight="1" x14ac:dyDescent="0.35">
      <c r="B31" t="s">
        <v>1053</v>
      </c>
      <c r="G31" s="520">
        <f>EmissionsfaktorWasser</f>
        <v>5.64</v>
      </c>
    </row>
    <row r="32" spans="2:8" ht="4.8" customHeight="1" x14ac:dyDescent="0.3"/>
    <row r="33" spans="2:8" ht="15.3" customHeight="1" x14ac:dyDescent="0.3">
      <c r="B33" t="s">
        <v>493</v>
      </c>
      <c r="G33" s="112">
        <f>G27*G31</f>
        <v>5634.3600000000006</v>
      </c>
    </row>
    <row r="34" spans="2:8" ht="15.3" customHeight="1" x14ac:dyDescent="0.3">
      <c r="B34" s="374" t="str">
        <f>IF(VerbrauchsanteilSchuleWasser&lt;&gt;100%,"Hinweis: Zur Berechnung der CO2-Bilanz werden nur "&amp;TEXT(VerbrauchsanteilSchuleWasser,"0 %")&amp;" der hier angegebenen Emissionen verwendet.","")</f>
        <v>Hinweis: Zur Berechnung der CO2-Bilanz werden nur 50 % der hier angegebenen Emissionen verwendet.</v>
      </c>
    </row>
    <row r="35" spans="2:8" ht="15.3" customHeight="1" x14ac:dyDescent="0.3">
      <c r="B35" s="374" t="str">
        <f>IF(VerbrauchsanteilSchuleWasser&lt;&gt;100%,"Dies entspricht "&amp;TEXT($G$33*VerbrauchsanteilSchuleWasser,"#.##0")&amp;" kg CO2. Der Anteil der Schule kann im Tabellenblatt Einstellungen geändert werden.","")</f>
        <v>Dies entspricht 2.817 kg CO2. Der Anteil der Schule kann im Tabellenblatt Einstellungen geändert werden.</v>
      </c>
    </row>
    <row r="36" spans="2:8" ht="15.3" customHeight="1" x14ac:dyDescent="0.3"/>
    <row r="37" spans="2:8" ht="20.399999999999999" thickBot="1" x14ac:dyDescent="0.45">
      <c r="B37" s="478" t="s">
        <v>1054</v>
      </c>
      <c r="C37" s="478"/>
      <c r="D37" s="478"/>
      <c r="E37" s="478"/>
      <c r="F37" s="478"/>
      <c r="G37" s="478"/>
    </row>
    <row r="38" spans="2:8" ht="15.3" customHeight="1" thickTop="1" x14ac:dyDescent="0.3"/>
    <row r="39" spans="2:8" ht="15.3" customHeight="1" thickBot="1" x14ac:dyDescent="0.35">
      <c r="B39" s="8" t="s">
        <v>1470</v>
      </c>
      <c r="G39" s="401">
        <v>99</v>
      </c>
    </row>
    <row r="40" spans="2:8" ht="15.3" customHeight="1" thickTop="1" thickBot="1" x14ac:dyDescent="0.35">
      <c r="B40" s="8" t="s">
        <v>1043</v>
      </c>
      <c r="G40" s="402" t="s">
        <v>50</v>
      </c>
      <c r="H40" s="459" t="str">
        <f>IF(G40="kg","Ein kg Restmüll entspricht etwa "&amp;UmrechnungsfaktorRestmüllKgInLiter&amp;" Liter Restmüll","")</f>
        <v/>
      </c>
    </row>
    <row r="41" spans="2:8" ht="15.3" customHeight="1" thickTop="1" thickBot="1" x14ac:dyDescent="0.35">
      <c r="B41" s="8" t="s">
        <v>348</v>
      </c>
      <c r="G41" s="402" t="s">
        <v>349</v>
      </c>
      <c r="H41" s="460" t="str">
        <f>IF(AND(G39&lt;&gt;"",G39&lt;&gt;0,OR(G40="Einheit wählen",G41="Zeitraum wählen")),"Einheit oder Zeitraum sind nicht ausgewählt","")</f>
        <v/>
      </c>
    </row>
    <row r="42" spans="2:8" ht="15.3" customHeight="1" thickTop="1" x14ac:dyDescent="0.3">
      <c r="B42" s="458" t="str">
        <f>IF(G43&lt;&gt;0,IF(G43&lt;MinRestmüllProPerson,"Achtung, sehr niedrige Restmüllmenge.",IF(G43&gt;MaxRestmüllProPerson,"Achtung, sehr hohe Restmüllmenge.","")),"")</f>
        <v/>
      </c>
    </row>
    <row r="43" spans="2:8" ht="15.3" customHeight="1" x14ac:dyDescent="0.3">
      <c r="B43" t="s">
        <v>1048</v>
      </c>
      <c r="G43" s="400">
        <f>ROUND(G44/(AnzahlLehrer+AnzahlSchueler),0)</f>
        <v>16</v>
      </c>
    </row>
    <row r="44" spans="2:8" ht="15.3" customHeight="1" x14ac:dyDescent="0.3">
      <c r="B44" t="s">
        <v>1052</v>
      </c>
      <c r="G44" s="404">
        <f>IF(OR(G40="Einheit wählen",G41="Zeitraum wählen"),0,G39*IF(G40="Liter",1,IF(G40="kg",UmrechnungsfaktorRestmüllKgInLiter,1))*IF(G41="pro Schultag",AnzahlSchultage,IF(G41="pro Schulwoche",AnzahlSchultage/5,IF(G41="pro Schuljahr",1,0))))</f>
        <v>17820</v>
      </c>
    </row>
    <row r="45" spans="2:8" ht="15.3" customHeight="1" x14ac:dyDescent="0.3">
      <c r="B45" t="s">
        <v>1064</v>
      </c>
      <c r="G45" s="518">
        <f>G44/1000</f>
        <v>17.82</v>
      </c>
    </row>
    <row r="46" spans="2:8" ht="15.3" customHeight="1" x14ac:dyDescent="0.3"/>
    <row r="47" spans="2:8" ht="15.3" customHeight="1" x14ac:dyDescent="0.35">
      <c r="B47" t="s">
        <v>1053</v>
      </c>
      <c r="G47" s="519">
        <f>EmissionsfaktorWasser</f>
        <v>5.64</v>
      </c>
    </row>
    <row r="48" spans="2:8" ht="15.3" customHeight="1" x14ac:dyDescent="0.3">
      <c r="B48" t="s">
        <v>493</v>
      </c>
      <c r="G48" s="403">
        <f>G45*G47</f>
        <v>100.50479999999999</v>
      </c>
    </row>
    <row r="49" spans="2:7" ht="15.3" customHeight="1" x14ac:dyDescent="0.3">
      <c r="B49" s="374" t="str">
        <f>IF(VerbrauchsanteilSchuleRestmüll&lt;&gt;100%,"Hinweis: Zur Berechnung der CO2-Bilanz werden nur "&amp;TEXT(VerbrauchsanteilSchuleRestmüll,"0 %")&amp;" der hier angegebenen Emissionen verwendet.","")</f>
        <v>Hinweis: Zur Berechnung der CO2-Bilanz werden nur 50 % der hier angegebenen Emissionen verwendet.</v>
      </c>
    </row>
    <row r="50" spans="2:7" ht="15.3" customHeight="1" x14ac:dyDescent="0.3">
      <c r="B50" s="374" t="str">
        <f>IF(VerbrauchsanteilSchuleRestmüll&lt;&gt;100%,"Dies entspricht "&amp;TEXT($G$48*VerbrauchsanteilSchuleRestmüll,"#.##0")&amp;" kg CO2. Der Anteil der Schule kann im Tabellenblatt Einstellungen geändert werden.","")</f>
        <v>Dies entspricht 50 kg CO2. Der Anteil der Schule kann im Tabellenblatt Einstellungen geändert werden.</v>
      </c>
    </row>
    <row r="51" spans="2:7" ht="20.399999999999999" thickBot="1" x14ac:dyDescent="0.45">
      <c r="B51" s="478" t="s">
        <v>1056</v>
      </c>
      <c r="C51" s="478"/>
      <c r="D51" s="478"/>
      <c r="E51" s="478"/>
      <c r="F51" s="478"/>
      <c r="G51" s="478"/>
    </row>
    <row r="52" spans="2:7" ht="15.3" customHeight="1" thickTop="1" x14ac:dyDescent="0.3"/>
    <row r="53" spans="2:7" ht="15.3" customHeight="1" x14ac:dyDescent="0.3">
      <c r="B53" t="s">
        <v>1444</v>
      </c>
      <c r="G53" s="406">
        <f>AnzahlSchueler+AnzahlLehrer</f>
        <v>1098</v>
      </c>
    </row>
    <row r="54" spans="2:7" ht="15.3" customHeight="1" thickBot="1" x14ac:dyDescent="0.35">
      <c r="B54" t="s">
        <v>1068</v>
      </c>
      <c r="G54" s="406">
        <f>G53*2</f>
        <v>2196</v>
      </c>
    </row>
    <row r="55" spans="2:7" ht="15.3" customHeight="1" thickTop="1" thickBot="1" x14ac:dyDescent="0.35">
      <c r="B55" s="8" t="s">
        <v>1096</v>
      </c>
      <c r="G55" s="407" t="s">
        <v>1075</v>
      </c>
    </row>
    <row r="56" spans="2:7" ht="15.3" customHeight="1" thickTop="1" x14ac:dyDescent="0.3">
      <c r="B56" t="s">
        <v>1097</v>
      </c>
      <c r="G56" s="406">
        <f>IF(G55="bitte wählen","",ROUNDUP(G54/VLOOKUP(G55,Lookup!$Y$30:$Z$56,2,FALSE),0))</f>
        <v>220</v>
      </c>
    </row>
    <row r="57" spans="2:7" ht="15.3" customHeight="1" x14ac:dyDescent="0.3">
      <c r="B57" t="s">
        <v>1098</v>
      </c>
      <c r="G57" s="409">
        <f>EmissionsfaktorStuhl</f>
        <v>50</v>
      </c>
    </row>
    <row r="58" spans="2:7" ht="15.3" customHeight="1" x14ac:dyDescent="0.3">
      <c r="B58" s="8" t="s">
        <v>493</v>
      </c>
      <c r="G58" s="403">
        <f>IF(G55="bitte wählen",0,G56*G57)</f>
        <v>11000</v>
      </c>
    </row>
    <row r="59" spans="2:7" ht="15.3" customHeight="1" x14ac:dyDescent="0.3">
      <c r="B59" s="413" t="str">
        <f>IF(VerbrauchsanteilSchuleMöbel&lt;&gt;100%,"Hinweis: Zur Berechnung der CO2-Bilanz werden nur "&amp;TEXT(VerbrauchsanteilSchuleMöbel,"0 %")&amp;" der hier angegebenen Emissionen verwendet.","")</f>
        <v>Hinweis: Zur Berechnung der CO2-Bilanz werden nur 50 % der hier angegebenen Emissionen verwendet.</v>
      </c>
    </row>
    <row r="60" spans="2:7" ht="15.3" customHeight="1" x14ac:dyDescent="0.3">
      <c r="B60" s="414" t="str">
        <f>IF(VerbrauchsanteilSchuleMöbel&lt;&gt;100%,"Dies entspricht "&amp;TEXT($G$58*VerbrauchsanteilSchuleMöbel,"#.##0")&amp;" kg CO2. Der Anteil der Schule kann im Tabellenblatt Einstellungen geändert werden.","")</f>
        <v>Dies entspricht 5.500 kg CO2. Der Anteil der Schule kann im Tabellenblatt Einstellungen geändert werden.</v>
      </c>
    </row>
    <row r="61" spans="2:7" ht="15.3" customHeight="1" x14ac:dyDescent="0.3"/>
    <row r="62" spans="2:7" ht="20.399999999999999" thickBot="1" x14ac:dyDescent="0.45">
      <c r="B62" s="478" t="s">
        <v>1057</v>
      </c>
      <c r="C62" s="478"/>
      <c r="D62" s="478"/>
      <c r="E62" s="478"/>
      <c r="F62" s="478"/>
      <c r="G62" s="478"/>
    </row>
    <row r="63" spans="2:7" ht="15.3" customHeight="1" thickTop="1" x14ac:dyDescent="0.3"/>
    <row r="64" spans="2:7" ht="15.3" customHeight="1" thickBot="1" x14ac:dyDescent="0.4">
      <c r="B64" s="3" t="s">
        <v>1131</v>
      </c>
    </row>
    <row r="65" spans="2:7" ht="15.3" customHeight="1" thickTop="1" x14ac:dyDescent="0.3"/>
    <row r="66" spans="2:7" ht="15.3" customHeight="1" thickBot="1" x14ac:dyDescent="0.35">
      <c r="B66" t="s">
        <v>1118</v>
      </c>
      <c r="G66" s="401">
        <v>10</v>
      </c>
    </row>
    <row r="67" spans="2:7" ht="15.3" customHeight="1" thickTop="1" thickBot="1" x14ac:dyDescent="0.35">
      <c r="B67" s="8" t="s">
        <v>1119</v>
      </c>
      <c r="G67" s="407" t="s">
        <v>1111</v>
      </c>
    </row>
    <row r="68" spans="2:7" ht="15.3" customHeight="1" thickTop="1" x14ac:dyDescent="0.3">
      <c r="B68" t="s">
        <v>1125</v>
      </c>
      <c r="G68" s="410">
        <f>IF(G67="bitte wählen","",ROUNDUP(G66/VLOOKUP(G67,Lookup!$Y$62:$Z$77,2,FALSE),1))</f>
        <v>10</v>
      </c>
    </row>
    <row r="69" spans="2:7" ht="15.3" customHeight="1" x14ac:dyDescent="0.3">
      <c r="B69" t="s">
        <v>1124</v>
      </c>
      <c r="G69" s="409">
        <f>EmissionsfaktorPC</f>
        <v>346.9</v>
      </c>
    </row>
    <row r="70" spans="2:7" ht="15.3" customHeight="1" x14ac:dyDescent="0.3">
      <c r="B70" s="8" t="s">
        <v>1123</v>
      </c>
      <c r="G70" s="403">
        <f>IF(G67="bitte wählen",0,G68*G69)</f>
        <v>3469</v>
      </c>
    </row>
    <row r="71" spans="2:7" ht="15.3" customHeight="1" x14ac:dyDescent="0.3"/>
    <row r="72" spans="2:7" ht="15.3" customHeight="1" thickBot="1" x14ac:dyDescent="0.4">
      <c r="B72" s="3" t="s">
        <v>1115</v>
      </c>
    </row>
    <row r="73" spans="2:7" ht="15.3" customHeight="1" thickTop="1" x14ac:dyDescent="0.3"/>
    <row r="74" spans="2:7" ht="15.3" customHeight="1" thickBot="1" x14ac:dyDescent="0.35">
      <c r="B74" t="s">
        <v>1100</v>
      </c>
      <c r="G74" s="401"/>
    </row>
    <row r="75" spans="2:7" ht="15.3" customHeight="1" thickTop="1" thickBot="1" x14ac:dyDescent="0.35">
      <c r="B75" s="8" t="s">
        <v>1101</v>
      </c>
      <c r="G75" s="407" t="s">
        <v>27</v>
      </c>
    </row>
    <row r="76" spans="2:7" ht="15.3" customHeight="1" thickTop="1" x14ac:dyDescent="0.3">
      <c r="B76" t="s">
        <v>1102</v>
      </c>
      <c r="G76" s="410" t="str">
        <f>IF(G75="bitte wählen","",ROUNDUP(G74/VLOOKUP(G75,Lookup!$Y$62:$Z$77,2,FALSE),1))</f>
        <v/>
      </c>
    </row>
    <row r="77" spans="2:7" ht="15.3" customHeight="1" x14ac:dyDescent="0.3">
      <c r="B77" t="s">
        <v>1116</v>
      </c>
      <c r="G77" s="409">
        <f>EmissionsfaktorNotebook</f>
        <v>251.7</v>
      </c>
    </row>
    <row r="78" spans="2:7" ht="15.3" customHeight="1" x14ac:dyDescent="0.3">
      <c r="B78" s="8" t="s">
        <v>1117</v>
      </c>
      <c r="G78" s="403">
        <f>IF(G75="bitte wählen",0,G76*G77)</f>
        <v>0</v>
      </c>
    </row>
    <row r="79" spans="2:7" ht="15.3" customHeight="1" x14ac:dyDescent="0.3">
      <c r="G79" s="301" t="str">
        <f>IF($G$74&gt;AnzahlSchueler*GrenzwertNotebooks,"Bitte Eingabewert überprüfen.","")</f>
        <v/>
      </c>
    </row>
    <row r="80" spans="2:7" ht="15.3" customHeight="1" thickBot="1" x14ac:dyDescent="0.4">
      <c r="B80" s="3" t="s">
        <v>1120</v>
      </c>
    </row>
    <row r="81" spans="2:7" ht="15.3" customHeight="1" thickTop="1" x14ac:dyDescent="0.3"/>
    <row r="82" spans="2:7" ht="15.3" customHeight="1" thickBot="1" x14ac:dyDescent="0.35">
      <c r="B82" t="s">
        <v>1121</v>
      </c>
      <c r="G82" s="401"/>
    </row>
    <row r="83" spans="2:7" ht="15.3" customHeight="1" thickTop="1" thickBot="1" x14ac:dyDescent="0.35">
      <c r="B83" s="8" t="s">
        <v>1122</v>
      </c>
      <c r="G83" s="407" t="s">
        <v>27</v>
      </c>
    </row>
    <row r="84" spans="2:7" ht="15.3" customHeight="1" thickTop="1" x14ac:dyDescent="0.3">
      <c r="B84" t="s">
        <v>1126</v>
      </c>
      <c r="G84" s="410" t="str">
        <f>IF(G83="bitte wählen","",ROUNDUP(G82/VLOOKUP(G83,Lookup!$Y$62:$Z$77,2,FALSE),1))</f>
        <v/>
      </c>
    </row>
    <row r="85" spans="2:7" ht="15.3" customHeight="1" x14ac:dyDescent="0.3">
      <c r="B85" t="s">
        <v>1127</v>
      </c>
      <c r="G85" s="409">
        <f>EmissionsfaktorTablet</f>
        <v>120</v>
      </c>
    </row>
    <row r="86" spans="2:7" ht="15.3" customHeight="1" x14ac:dyDescent="0.3">
      <c r="B86" s="8" t="s">
        <v>1128</v>
      </c>
      <c r="G86" s="403">
        <f>IF(G83="bitte wählen",0,G84*G85)</f>
        <v>0</v>
      </c>
    </row>
    <row r="87" spans="2:7" ht="15.3" customHeight="1" x14ac:dyDescent="0.3">
      <c r="G87" s="301" t="str">
        <f>IF($G$82&gt;AnzahlSchueler*GrenzwertTablets,"Bitte Eingabewert überprüfen.","")</f>
        <v/>
      </c>
    </row>
    <row r="88" spans="2:7" ht="15.3" customHeight="1" thickBot="1" x14ac:dyDescent="0.4">
      <c r="B88" s="3" t="s">
        <v>1129</v>
      </c>
      <c r="C88" s="3"/>
    </row>
    <row r="89" spans="2:7" ht="15.3" customHeight="1" thickTop="1" x14ac:dyDescent="0.3"/>
    <row r="90" spans="2:7" ht="15.3" customHeight="1" x14ac:dyDescent="0.3">
      <c r="B90" t="s">
        <v>1123</v>
      </c>
      <c r="G90" s="412">
        <f>G70</f>
        <v>3469</v>
      </c>
    </row>
    <row r="91" spans="2:7" ht="15.3" customHeight="1" x14ac:dyDescent="0.3">
      <c r="B91" t="s">
        <v>1117</v>
      </c>
      <c r="G91" s="412">
        <f>G78</f>
        <v>0</v>
      </c>
    </row>
    <row r="92" spans="2:7" ht="15.3" customHeight="1" x14ac:dyDescent="0.3">
      <c r="B92" t="s">
        <v>1128</v>
      </c>
      <c r="G92" s="412">
        <f>G86</f>
        <v>0</v>
      </c>
    </row>
    <row r="93" spans="2:7" ht="15.3" customHeight="1" x14ac:dyDescent="0.3">
      <c r="B93" s="8" t="s">
        <v>1130</v>
      </c>
      <c r="G93" s="403">
        <f>SUM(G90:G92)</f>
        <v>3469</v>
      </c>
    </row>
    <row r="94" spans="2:7" ht="15.3" customHeight="1" x14ac:dyDescent="0.3">
      <c r="B94" s="413" t="str">
        <f>IF(VerbrauchsanteilSchuleIT&lt;&gt;100%,"Hinweis: Zur Berechnung der CO2-Bilanz werden nur "&amp;TEXT(VerbrauchsanteilSchuleIT,"0 %")&amp;" der hier angegebenen Emissionen verwendet.","")</f>
        <v>Hinweis: Zur Berechnung der CO2-Bilanz werden nur 50 % der hier angegebenen Emissionen verwendet.</v>
      </c>
    </row>
    <row r="95" spans="2:7" ht="15.3" customHeight="1" x14ac:dyDescent="0.3">
      <c r="B95" s="414" t="str">
        <f>IF(VerbrauchsanteilSchuleIT&lt;&gt;100%,"Dies entspricht "&amp;TEXT($G$93*VerbrauchsanteilSchuleIT,"#.##0")&amp;" kg CO2. Der Anteil der Schule kann im Tabellenblatt Einstellungen geändert werden.","")</f>
        <v>Dies entspricht 1.735 kg CO2. Der Anteil der Schule kann im Tabellenblatt Einstellungen geändert werden.</v>
      </c>
    </row>
    <row r="96" spans="2:7" ht="15.3" customHeight="1" x14ac:dyDescent="0.3"/>
    <row r="97" spans="2:7" ht="20.399999999999999" thickBot="1" x14ac:dyDescent="0.45">
      <c r="B97" s="478" t="s">
        <v>1060</v>
      </c>
      <c r="C97" s="478"/>
      <c r="D97" s="478"/>
      <c r="E97" s="478"/>
      <c r="F97" s="478"/>
      <c r="G97" s="478"/>
    </row>
    <row r="98" spans="2:7" ht="15.3" customHeight="1" thickTop="1" x14ac:dyDescent="0.3"/>
    <row r="99" spans="2:7" s="149" customFormat="1" ht="21" customHeight="1" x14ac:dyDescent="0.3">
      <c r="B99" s="575" t="s">
        <v>1142</v>
      </c>
      <c r="C99" s="610"/>
      <c r="D99" s="610"/>
      <c r="E99" s="610"/>
      <c r="F99" s="610"/>
      <c r="G99" s="611"/>
    </row>
    <row r="100" spans="2:7" s="149" customFormat="1" ht="21" customHeight="1" x14ac:dyDescent="0.3">
      <c r="B100" s="675"/>
      <c r="C100" s="561"/>
      <c r="D100" s="561"/>
      <c r="E100" s="561"/>
      <c r="F100" s="561"/>
      <c r="G100" s="676"/>
    </row>
    <row r="101" spans="2:7" s="149" customFormat="1" ht="21" customHeight="1" x14ac:dyDescent="0.3">
      <c r="B101" s="612"/>
      <c r="C101" s="571"/>
      <c r="D101" s="571"/>
      <c r="E101" s="571"/>
      <c r="F101" s="571"/>
      <c r="G101" s="613"/>
    </row>
    <row r="102" spans="2:7" ht="15.3" customHeight="1" x14ac:dyDescent="0.3"/>
    <row r="103" spans="2:7" ht="15.3" customHeight="1" x14ac:dyDescent="0.3">
      <c r="B103" s="8" t="s">
        <v>1058</v>
      </c>
      <c r="G103" s="401">
        <v>5</v>
      </c>
    </row>
    <row r="104" spans="2:7" ht="15.3" customHeight="1" thickBot="1" x14ac:dyDescent="0.35">
      <c r="B104" t="s">
        <v>1445</v>
      </c>
      <c r="G104" s="406">
        <f>AnzahlSchueler</f>
        <v>999</v>
      </c>
    </row>
    <row r="105" spans="2:7" ht="15.3" customHeight="1" thickTop="1" thickBot="1" x14ac:dyDescent="0.35">
      <c r="B105" s="8" t="s">
        <v>1252</v>
      </c>
      <c r="G105" s="407" t="s">
        <v>1138</v>
      </c>
    </row>
    <row r="106" spans="2:7" ht="15.3" customHeight="1" thickTop="1" x14ac:dyDescent="0.3">
      <c r="B106" s="8" t="s">
        <v>1141</v>
      </c>
      <c r="G106" s="301" t="str">
        <f>IF($G$103&gt;GrenzwertBuecher,"Bitte Eingabewert überprüfen.","")</f>
        <v/>
      </c>
    </row>
    <row r="107" spans="2:7" ht="15.3" customHeight="1" x14ac:dyDescent="0.3">
      <c r="B107" t="s">
        <v>1134</v>
      </c>
      <c r="G107" s="410">
        <f>IF(G105="bitte wählen","",ROUNDUP($G$103*$G$104/VLOOKUP(G105,Lookup!$Y$80:$Z$85,2,FALSE),1))</f>
        <v>1665</v>
      </c>
    </row>
    <row r="108" spans="2:7" ht="15.3" customHeight="1" x14ac:dyDescent="0.3">
      <c r="B108" t="s">
        <v>1059</v>
      </c>
      <c r="G108" s="405">
        <f>EmissionsfaktorBücher</f>
        <v>2</v>
      </c>
    </row>
    <row r="109" spans="2:7" ht="15.3" customHeight="1" x14ac:dyDescent="0.3">
      <c r="B109" s="8" t="s">
        <v>1135</v>
      </c>
      <c r="G109" s="403">
        <f>IF(G107&lt;&gt;"",G107*G108,0)</f>
        <v>3330</v>
      </c>
    </row>
    <row r="110" spans="2:7" ht="15.3" customHeight="1" x14ac:dyDescent="0.3">
      <c r="B110" s="413" t="str">
        <f>IF(VerbrauchsanteilSchuleSchulbücher&lt;&gt;100%,"Hinweis: Zur Berechnung der CO2-Bilanz werden nur "&amp;TEXT(VerbrauchsanteilSchuleSchulbücher,"0 %")&amp;" der hier angegebenen Emissionen verwendet.","")</f>
        <v>Hinweis: Zur Berechnung der CO2-Bilanz werden nur 50 % der hier angegebenen Emissionen verwendet.</v>
      </c>
    </row>
    <row r="111" spans="2:7" ht="15.3" customHeight="1" x14ac:dyDescent="0.3">
      <c r="B111" s="414" t="str">
        <f>IF(VerbrauchsanteilSchuleSchulbücher&lt;&gt;100%,"Dies entspricht "&amp;TEXT($G$109*VerbrauchsanteilSchuleSchulbücher,"#.##0")&amp;" kg CO2. Der Anteil der Schule kann im Tabellenblatt Einstellungen geändert werden.","")</f>
        <v>Dies entspricht 1.665 kg CO2. Der Anteil der Schule kann im Tabellenblatt Einstellungen geändert werden.</v>
      </c>
    </row>
    <row r="112" spans="2:7" ht="15.3" customHeight="1" x14ac:dyDescent="0.3"/>
    <row r="113" ht="15.3" customHeight="1" x14ac:dyDescent="0.3"/>
    <row r="114" ht="15.3" customHeight="1" x14ac:dyDescent="0.3"/>
    <row r="115" ht="15.3" customHeight="1" x14ac:dyDescent="0.3"/>
    <row r="116" ht="15.3" customHeight="1" x14ac:dyDescent="0.3"/>
    <row r="117" ht="15.3" customHeight="1" x14ac:dyDescent="0.3"/>
    <row r="118" ht="15.3" customHeight="1" x14ac:dyDescent="0.3"/>
    <row r="119" ht="15.3" customHeight="1" x14ac:dyDescent="0.3"/>
    <row r="120" ht="15.3" customHeight="1" x14ac:dyDescent="0.3"/>
    <row r="121" ht="15.3" customHeight="1" x14ac:dyDescent="0.3"/>
    <row r="122" ht="15.3" customHeight="1" x14ac:dyDescent="0.3"/>
    <row r="123" ht="15.3" customHeight="1" x14ac:dyDescent="0.3"/>
    <row r="124" ht="15.3" customHeight="1" x14ac:dyDescent="0.3"/>
    <row r="125" ht="15.3" customHeight="1" x14ac:dyDescent="0.3"/>
    <row r="126" ht="15.3" customHeight="1" x14ac:dyDescent="0.3"/>
    <row r="127" ht="15.3" customHeight="1" x14ac:dyDescent="0.3"/>
    <row r="128" ht="15.3" customHeight="1" x14ac:dyDescent="0.3"/>
    <row r="129" ht="15.3" customHeight="1" x14ac:dyDescent="0.3"/>
    <row r="130" ht="15.3" customHeight="1" x14ac:dyDescent="0.3"/>
    <row r="131" ht="15.3" customHeight="1" x14ac:dyDescent="0.3"/>
    <row r="132" ht="8.4" customHeight="1" x14ac:dyDescent="0.3"/>
  </sheetData>
  <sheetProtection algorithmName="SHA-512" hashValue="DwWaiqS05hNqilj+qEAjI4/0+cApUfa+q+Zk1PqqOKXL/mJuCnragFLuzUkQr7fm9FjSUte0079vSDQ9NB1f1A==" saltValue="xLpVe4c3QSRqMv1CX9H4nA==" spinCount="100000" sheet="1" objects="1" scenarios="1"/>
  <mergeCells count="1">
    <mergeCell ref="B99:G101"/>
  </mergeCells>
  <dataValidations count="1">
    <dataValidation type="list" allowBlank="1" showInputMessage="1" showErrorMessage="1" sqref="G40">
      <formula1>"Einheit wählen,Liter,kg"</formula1>
    </dataValidation>
  </dataValidations>
  <hyperlinks>
    <hyperlink ref="A5" location="Inhalt!A1" display="&lt;= Start"/>
  </hyperlinks>
  <pageMargins left="0.7" right="0.7" top="0.75" bottom="0.75" header="0.3" footer="0.3"/>
  <pageSetup paperSize="9" orientation="portrait" horizontalDpi="4294967295" verticalDpi="4294967295"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Lookup!$AA$4:$AA$7</xm:f>
          </x14:formula1>
          <xm:sqref>G41</xm:sqref>
        </x14:dataValidation>
        <x14:dataValidation type="list" allowBlank="1" showInputMessage="1" showErrorMessage="1">
          <x14:formula1>
            <xm:f>Lookup!$Y$62:$Y$77</xm:f>
          </x14:formula1>
          <xm:sqref>G75 G67 G83</xm:sqref>
        </x14:dataValidation>
        <x14:dataValidation type="list" allowBlank="1" showInputMessage="1" showErrorMessage="1">
          <x14:formula1>
            <xm:f>Lookup!$Y$80:$Y$85</xm:f>
          </x14:formula1>
          <xm:sqref>G105</xm:sqref>
        </x14:dataValidation>
        <x14:dataValidation type="list" allowBlank="1" showInputMessage="1" showErrorMessage="1">
          <x14:formula1>
            <xm:f>Lookup!Y$30:Y$56</xm:f>
          </x14:formula1>
          <xm:sqref>G55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1" tint="0.499984740745262"/>
  </sheetPr>
  <dimension ref="A1:P102"/>
  <sheetViews>
    <sheetView showGridLines="0" workbookViewId="0">
      <selection activeCell="H96" sqref="H96"/>
    </sheetView>
  </sheetViews>
  <sheetFormatPr baseColWidth="10" defaultColWidth="0" defaultRowHeight="14.4" x14ac:dyDescent="0.3"/>
  <cols>
    <col min="1" max="1" width="8.88671875" customWidth="1"/>
    <col min="2" max="3" width="1.88671875" customWidth="1"/>
    <col min="4" max="4" width="11.33203125" customWidth="1"/>
    <col min="5" max="5" width="19.6640625" customWidth="1"/>
    <col min="6" max="6" width="6.44140625" customWidth="1"/>
    <col min="7" max="7" width="2.88671875" customWidth="1"/>
    <col min="8" max="8" width="21.6640625" customWidth="1"/>
    <col min="9" max="16" width="8.88671875" customWidth="1"/>
    <col min="17" max="16384" width="8.88671875" hidden="1"/>
  </cols>
  <sheetData>
    <row r="1" spans="1:16" ht="12" customHeight="1" x14ac:dyDescent="0.3">
      <c r="A1" s="1"/>
      <c r="B1" s="1"/>
      <c r="C1" s="1"/>
      <c r="D1" s="1"/>
      <c r="E1" s="1"/>
      <c r="F1" s="1"/>
      <c r="G1" s="1"/>
      <c r="H1" s="1"/>
      <c r="I1" s="1"/>
      <c r="J1" s="1"/>
      <c r="K1" s="1"/>
      <c r="L1" s="1"/>
      <c r="M1" s="1"/>
      <c r="N1" s="1"/>
      <c r="O1" s="1"/>
      <c r="P1" s="1"/>
    </row>
    <row r="2" spans="1:16" ht="12" customHeight="1" x14ac:dyDescent="0.3">
      <c r="A2" s="1"/>
      <c r="B2" s="1"/>
      <c r="C2" s="1"/>
      <c r="D2" s="1"/>
      <c r="E2" s="1"/>
      <c r="F2" s="1"/>
      <c r="G2" s="1"/>
      <c r="H2" s="1"/>
      <c r="I2" s="1"/>
      <c r="J2" s="1"/>
      <c r="K2" s="1"/>
      <c r="L2" s="1"/>
      <c r="M2" s="1"/>
      <c r="N2" s="1"/>
      <c r="O2" s="1"/>
      <c r="P2" s="1"/>
    </row>
    <row r="3" spans="1:16" ht="32.4" customHeight="1" x14ac:dyDescent="0.55000000000000004">
      <c r="A3" s="1"/>
      <c r="B3" s="1"/>
      <c r="C3" s="1"/>
      <c r="D3" s="1"/>
      <c r="E3" s="1"/>
      <c r="F3" s="2" t="s">
        <v>530</v>
      </c>
      <c r="G3" s="1"/>
      <c r="H3" s="1"/>
      <c r="I3" s="1"/>
      <c r="J3" s="1"/>
      <c r="K3" s="2"/>
      <c r="L3" s="1"/>
      <c r="M3" s="1"/>
      <c r="N3" s="1"/>
      <c r="O3" s="1"/>
      <c r="P3" s="1"/>
    </row>
    <row r="4" spans="1:16" ht="18.45" customHeight="1" thickBot="1" x14ac:dyDescent="0.4">
      <c r="A4" s="483"/>
      <c r="B4" s="483"/>
      <c r="C4" s="483"/>
      <c r="D4" s="484"/>
      <c r="E4" s="483"/>
      <c r="F4" s="484" t="str">
        <f>NameDerSchule</f>
        <v>Schule ABC</v>
      </c>
      <c r="G4" s="483"/>
      <c r="H4" s="483"/>
      <c r="I4" s="483"/>
      <c r="J4" s="483"/>
      <c r="K4" s="483"/>
      <c r="L4" s="483"/>
      <c r="M4" s="483"/>
      <c r="N4" s="483"/>
      <c r="O4" s="483"/>
      <c r="P4" s="483"/>
    </row>
    <row r="5" spans="1:16" ht="15" thickTop="1" x14ac:dyDescent="0.3">
      <c r="A5" s="26" t="s">
        <v>63</v>
      </c>
    </row>
    <row r="7" spans="1:16" ht="20.399999999999999" thickBot="1" x14ac:dyDescent="0.45">
      <c r="B7" s="478" t="str">
        <f>"Ergebnis CO₂-Bilanz für "&amp;NameDerSchule</f>
        <v>Ergebnis CO₂-Bilanz für Schule ABC</v>
      </c>
      <c r="C7" s="478"/>
      <c r="D7" s="478"/>
      <c r="E7" s="478"/>
      <c r="F7" s="478"/>
      <c r="G7" s="478"/>
      <c r="H7" s="478"/>
      <c r="I7" s="478"/>
    </row>
    <row r="8" spans="1:16" ht="15" thickTop="1" x14ac:dyDescent="0.3"/>
    <row r="9" spans="1:16" ht="18.600000000000001" thickBot="1" x14ac:dyDescent="0.4">
      <c r="B9" s="315"/>
      <c r="D9" s="3" t="s">
        <v>727</v>
      </c>
      <c r="E9" s="3"/>
      <c r="F9" s="3"/>
      <c r="G9" s="3"/>
      <c r="I9" t="s">
        <v>536</v>
      </c>
      <c r="N9" s="203" t="s">
        <v>557</v>
      </c>
    </row>
    <row r="10" spans="1:16" ht="15" thickTop="1" x14ac:dyDescent="0.3">
      <c r="B10" s="315"/>
      <c r="D10" t="s">
        <v>427</v>
      </c>
      <c r="H10" s="111">
        <f>Heizsystem!$H$51*VerbrauchsanteilSchuleWaerme</f>
        <v>15888.411000000002</v>
      </c>
      <c r="N10" t="str">
        <f>D9</f>
        <v>Energie</v>
      </c>
      <c r="O10" s="65">
        <f>H13</f>
        <v>18244.252531595575</v>
      </c>
    </row>
    <row r="11" spans="1:16" x14ac:dyDescent="0.3">
      <c r="B11" s="315"/>
      <c r="D11" t="s">
        <v>6</v>
      </c>
      <c r="H11" s="111">
        <f>Stromverbrauch!$E$32*VerbrauchsanteilSchuleStrom</f>
        <v>24999.75</v>
      </c>
      <c r="N11" t="str">
        <f>D15</f>
        <v>Mobilität</v>
      </c>
      <c r="O11" s="65">
        <f>H20</f>
        <v>78835.222500000003</v>
      </c>
    </row>
    <row r="12" spans="1:16" x14ac:dyDescent="0.3">
      <c r="B12" s="315"/>
      <c r="D12" t="s">
        <v>7</v>
      </c>
      <c r="H12" s="111">
        <f>-PV!$D$69*VerbrauchsanteilSchulePV</f>
        <v>-22643.908468404425</v>
      </c>
      <c r="N12" t="s">
        <v>117</v>
      </c>
      <c r="O12" s="65">
        <f>H24</f>
        <v>20267.490000000002</v>
      </c>
    </row>
    <row r="13" spans="1:16" x14ac:dyDescent="0.3">
      <c r="B13" s="315"/>
      <c r="D13" s="68" t="s">
        <v>306</v>
      </c>
      <c r="E13" s="69"/>
      <c r="F13" s="69"/>
      <c r="G13" s="69"/>
      <c r="H13" s="162">
        <f>SUM(H10:H12)</f>
        <v>18244.252531595575</v>
      </c>
      <c r="I13" s="197">
        <f>H13/$H$35</f>
        <v>0.13699902944820291</v>
      </c>
      <c r="N13" t="s">
        <v>340</v>
      </c>
      <c r="O13" s="65">
        <f>H33</f>
        <v>15823.704900000001</v>
      </c>
    </row>
    <row r="15" spans="1:16" ht="18" thickBot="1" x14ac:dyDescent="0.4">
      <c r="B15" s="320"/>
      <c r="D15" s="3" t="s">
        <v>728</v>
      </c>
      <c r="E15" s="3"/>
      <c r="F15" s="3"/>
      <c r="G15" s="3"/>
    </row>
    <row r="16" spans="1:16" ht="15" thickTop="1" x14ac:dyDescent="0.3">
      <c r="B16" s="320"/>
      <c r="D16" t="s">
        <v>1271</v>
      </c>
      <c r="H16" s="111">
        <f>Schulwege!$G$76*VerbrauchsanteilSchuleSchuelerweg</f>
        <v>50046.57</v>
      </c>
    </row>
    <row r="17" spans="2:9" x14ac:dyDescent="0.3">
      <c r="B17" s="320"/>
      <c r="D17" t="s">
        <v>1272</v>
      </c>
      <c r="H17" s="111">
        <f>Schulwege!G$203*VerbrauchsanteilSchuleLehrerweg</f>
        <v>9406.4024999999983</v>
      </c>
    </row>
    <row r="18" spans="2:9" x14ac:dyDescent="0.3">
      <c r="B18" s="320"/>
      <c r="D18" t="s">
        <v>414</v>
      </c>
      <c r="H18" s="111">
        <f>Klassenfahrten!$H$16*VerbrauchsanteilSchuleKlassenfahrten</f>
        <v>12959.25</v>
      </c>
    </row>
    <row r="19" spans="2:9" x14ac:dyDescent="0.3">
      <c r="B19" s="320"/>
      <c r="D19" t="s">
        <v>552</v>
      </c>
      <c r="H19" s="111">
        <f>Schüleraustausch!$G$18*VerbrauchsanteilSchuleAustauschprogramme</f>
        <v>6423</v>
      </c>
    </row>
    <row r="20" spans="2:9" x14ac:dyDescent="0.3">
      <c r="B20" s="320"/>
      <c r="D20" s="68" t="s">
        <v>336</v>
      </c>
      <c r="E20" s="69"/>
      <c r="F20" s="69"/>
      <c r="G20" s="69"/>
      <c r="H20" s="162">
        <f>SUM(H16:H19)</f>
        <v>78835.222500000003</v>
      </c>
      <c r="I20" s="197">
        <f>H20/$H$35</f>
        <v>0.59198637763476358</v>
      </c>
    </row>
    <row r="22" spans="2:9" ht="18" thickBot="1" x14ac:dyDescent="0.4">
      <c r="B22" s="321"/>
      <c r="D22" s="3" t="s">
        <v>117</v>
      </c>
      <c r="E22" s="3"/>
      <c r="F22" s="3"/>
      <c r="G22" s="3"/>
    </row>
    <row r="23" spans="2:9" ht="15" thickTop="1" x14ac:dyDescent="0.3">
      <c r="B23" s="321"/>
      <c r="D23" t="s">
        <v>424</v>
      </c>
      <c r="H23" s="111">
        <f>IF(Ernährung!$D$29="vereinfachte Abschätzung",Ernährung!G$44*VerbrauchsanteilSchuleErnaehrung,Ernährung!E$146*VerbrauchsanteilSchuleErnaehrung)+Ernährung!$F$179*VerbrauchsanteilSchuleSnacks</f>
        <v>20267.490000000002</v>
      </c>
    </row>
    <row r="24" spans="2:9" x14ac:dyDescent="0.3">
      <c r="B24" s="321"/>
      <c r="D24" s="68" t="s">
        <v>733</v>
      </c>
      <c r="E24" s="69"/>
      <c r="F24" s="69"/>
      <c r="G24" s="69"/>
      <c r="H24" s="162">
        <f>SUM(H23)</f>
        <v>20267.490000000002</v>
      </c>
      <c r="I24" s="197">
        <f>H24/$H$35</f>
        <v>0.1521918453245793</v>
      </c>
    </row>
    <row r="26" spans="2:9" ht="18" thickBot="1" x14ac:dyDescent="0.4">
      <c r="B26" s="322"/>
      <c r="D26" s="3" t="s">
        <v>340</v>
      </c>
      <c r="E26" s="3"/>
      <c r="F26" s="3"/>
      <c r="G26" s="3"/>
    </row>
    <row r="27" spans="2:9" ht="15" thickTop="1" x14ac:dyDescent="0.3">
      <c r="B27" s="322"/>
      <c r="D27" t="s">
        <v>1042</v>
      </c>
      <c r="H27" s="111">
        <f>Beschaffung_1!$G$13*VerbrauchsanteilSchulePapier</f>
        <v>4056.7725</v>
      </c>
    </row>
    <row r="28" spans="2:9" x14ac:dyDescent="0.3">
      <c r="B28" s="322"/>
      <c r="D28" t="s">
        <v>968</v>
      </c>
      <c r="H28" s="111">
        <f>Beschaffung_2!G33*VerbrauchsanteilSchuleWasser</f>
        <v>2817.1800000000003</v>
      </c>
    </row>
    <row r="29" spans="2:9" x14ac:dyDescent="0.3">
      <c r="B29" s="322"/>
      <c r="D29" t="s">
        <v>1044</v>
      </c>
      <c r="H29" s="111">
        <f>Beschaffung_2!G48*VerbrauchsanteilSchuleRestmüll</f>
        <v>50.252399999999994</v>
      </c>
    </row>
    <row r="30" spans="2:9" x14ac:dyDescent="0.3">
      <c r="B30" s="322"/>
      <c r="D30" t="s">
        <v>1099</v>
      </c>
      <c r="H30" s="111">
        <f>Beschaffung_2!G58*VerbrauchsanteilSchuleMöbel</f>
        <v>5500</v>
      </c>
    </row>
    <row r="31" spans="2:9" x14ac:dyDescent="0.3">
      <c r="B31" s="322"/>
      <c r="D31" t="s">
        <v>1132</v>
      </c>
      <c r="H31" s="111">
        <f>Beschaffung_2!$G$93*VerbrauchsanteilSchuleIT</f>
        <v>1734.5</v>
      </c>
    </row>
    <row r="32" spans="2:9" x14ac:dyDescent="0.3">
      <c r="B32" s="322"/>
      <c r="D32" t="s">
        <v>1060</v>
      </c>
      <c r="H32" s="111">
        <f>Beschaffung_2!$G$109*VerbrauchsanteilSchuleSchulbücher</f>
        <v>1665</v>
      </c>
    </row>
    <row r="33" spans="2:9" x14ac:dyDescent="0.3">
      <c r="B33" s="322"/>
      <c r="D33" s="68" t="s">
        <v>734</v>
      </c>
      <c r="E33" s="69"/>
      <c r="F33" s="69"/>
      <c r="G33" s="69"/>
      <c r="H33" s="162">
        <f>SUM(H27:H32)</f>
        <v>15823.704900000001</v>
      </c>
      <c r="I33" s="197">
        <f>H33/$H$35</f>
        <v>0.11882274759245411</v>
      </c>
    </row>
    <row r="35" spans="2:9" ht="18" thickBot="1" x14ac:dyDescent="0.4">
      <c r="B35" s="6"/>
      <c r="D35" s="3" t="s">
        <v>337</v>
      </c>
      <c r="E35" s="3"/>
      <c r="F35" s="3"/>
      <c r="G35" s="3"/>
      <c r="H35" s="162">
        <f>H13+H20+H24+H33</f>
        <v>133170.66993159559</v>
      </c>
    </row>
    <row r="36" spans="2:9" ht="18.600000000000001" thickTop="1" thickBot="1" x14ac:dyDescent="0.4">
      <c r="B36" s="6"/>
      <c r="D36" s="3" t="s">
        <v>338</v>
      </c>
      <c r="E36" s="3"/>
      <c r="F36" s="3"/>
      <c r="G36" s="3"/>
      <c r="H36" s="111">
        <f>H35/AnzahlSchueler</f>
        <v>133.3039739055011</v>
      </c>
    </row>
    <row r="37" spans="2:9" ht="15" thickTop="1" x14ac:dyDescent="0.3"/>
    <row r="39" spans="2:9" ht="18" thickBot="1" x14ac:dyDescent="0.4">
      <c r="B39" s="3" t="s">
        <v>586</v>
      </c>
      <c r="C39" s="3"/>
      <c r="D39" s="3"/>
      <c r="E39" s="3"/>
      <c r="F39" s="3"/>
      <c r="G39" s="3"/>
      <c r="H39" s="3"/>
      <c r="I39" s="3"/>
    </row>
    <row r="40" spans="2:9" ht="15" thickTop="1" x14ac:dyDescent="0.3"/>
    <row r="63" ht="16.8" customHeight="1" x14ac:dyDescent="0.3"/>
    <row r="64" ht="16.8" customHeight="1" x14ac:dyDescent="0.3"/>
    <row r="65" ht="16.8" customHeight="1" x14ac:dyDescent="0.3"/>
    <row r="66" ht="16.8" customHeight="1" x14ac:dyDescent="0.3"/>
    <row r="67" ht="16.8" customHeight="1" x14ac:dyDescent="0.3"/>
    <row r="68" ht="16.8" customHeight="1" x14ac:dyDescent="0.3"/>
    <row r="69" ht="16.8" customHeight="1" x14ac:dyDescent="0.3"/>
    <row r="70" ht="16.8" customHeight="1" x14ac:dyDescent="0.3"/>
    <row r="71" ht="16.8" customHeight="1" x14ac:dyDescent="0.3"/>
    <row r="72" ht="16.8" customHeight="1" x14ac:dyDescent="0.3"/>
    <row r="73" ht="16.8" customHeight="1" x14ac:dyDescent="0.3"/>
    <row r="74" ht="16.8" customHeight="1" x14ac:dyDescent="0.3"/>
    <row r="79" ht="22.2" customHeight="1" x14ac:dyDescent="0.3"/>
    <row r="81" spans="2:12" x14ac:dyDescent="0.3">
      <c r="B81" s="228"/>
      <c r="C81" s="229"/>
      <c r="D81" s="650" t="s">
        <v>587</v>
      </c>
      <c r="E81" s="650"/>
      <c r="F81" s="650"/>
      <c r="G81" s="650"/>
      <c r="H81" s="650"/>
      <c r="I81" s="650"/>
      <c r="J81" s="650"/>
      <c r="K81" s="650"/>
      <c r="L81" s="651"/>
    </row>
    <row r="82" spans="2:12" x14ac:dyDescent="0.3">
      <c r="B82" s="204"/>
      <c r="D82" s="600"/>
      <c r="E82" s="600"/>
      <c r="F82" s="600"/>
      <c r="G82" s="600"/>
      <c r="H82" s="600"/>
      <c r="I82" s="600"/>
      <c r="J82" s="600"/>
      <c r="K82" s="600"/>
      <c r="L82" s="649"/>
    </row>
    <row r="83" spans="2:12" ht="11.1" customHeight="1" x14ac:dyDescent="0.3">
      <c r="B83" s="204"/>
      <c r="L83" s="205"/>
    </row>
    <row r="84" spans="2:12" ht="18" thickBot="1" x14ac:dyDescent="0.4">
      <c r="B84" s="204"/>
      <c r="D84" s="3" t="s">
        <v>540</v>
      </c>
      <c r="E84" s="3"/>
      <c r="H84" s="3" t="s">
        <v>541</v>
      </c>
      <c r="L84" s="205"/>
    </row>
    <row r="85" spans="2:12" ht="15" thickTop="1" x14ac:dyDescent="0.3">
      <c r="B85" s="204"/>
      <c r="D85" t="s">
        <v>542</v>
      </c>
      <c r="H85" t="s">
        <v>542</v>
      </c>
      <c r="L85" s="205"/>
    </row>
    <row r="86" spans="2:12" x14ac:dyDescent="0.3">
      <c r="B86" s="204"/>
      <c r="D86" s="679"/>
      <c r="E86" s="680"/>
      <c r="H86" s="679"/>
      <c r="I86" s="680"/>
      <c r="L86" s="205"/>
    </row>
    <row r="87" spans="2:12" x14ac:dyDescent="0.3">
      <c r="B87" s="204"/>
      <c r="D87" t="s">
        <v>546</v>
      </c>
      <c r="H87" t="s">
        <v>546</v>
      </c>
      <c r="L87" s="205"/>
    </row>
    <row r="88" spans="2:12" x14ac:dyDescent="0.3">
      <c r="B88" s="204"/>
      <c r="D88" s="677" t="s">
        <v>545</v>
      </c>
      <c r="E88" s="678"/>
      <c r="H88" s="677" t="str">
        <f>B7</f>
        <v>Ergebnis CO₂-Bilanz für Schule ABC</v>
      </c>
      <c r="I88" s="678"/>
      <c r="L88" s="205"/>
    </row>
    <row r="89" spans="2:12" x14ac:dyDescent="0.3">
      <c r="B89" s="204"/>
      <c r="D89" t="s">
        <v>544</v>
      </c>
      <c r="H89" t="s">
        <v>544</v>
      </c>
      <c r="L89" s="205"/>
    </row>
    <row r="90" spans="2:12" x14ac:dyDescent="0.3">
      <c r="B90" s="204"/>
      <c r="D90" s="677" t="str">
        <f>IF(D86&lt;&gt;"",D86,D88)</f>
        <v>Verteilung CO₂-Emissionen für Schule</v>
      </c>
      <c r="E90" s="678"/>
      <c r="H90" s="677" t="str">
        <f>IF(H86&lt;&gt;"",H86,H88)</f>
        <v>Ergebnis CO₂-Bilanz für Schule ABC</v>
      </c>
      <c r="I90" s="678"/>
      <c r="L90" s="205"/>
    </row>
    <row r="91" spans="2:12" ht="13.2" customHeight="1" x14ac:dyDescent="0.3">
      <c r="B91" s="204"/>
      <c r="L91" s="205"/>
    </row>
    <row r="92" spans="2:12" x14ac:dyDescent="0.3">
      <c r="B92" s="204"/>
      <c r="D92" s="8" t="s">
        <v>543</v>
      </c>
      <c r="L92" s="205"/>
    </row>
    <row r="93" spans="2:12" x14ac:dyDescent="0.3">
      <c r="B93" s="204"/>
      <c r="D93" t="s">
        <v>427</v>
      </c>
      <c r="E93" s="243">
        <f>H10</f>
        <v>15888.411000000002</v>
      </c>
      <c r="F93" s="87">
        <f>E93/SUM($E$93:$E$100)</f>
        <v>0.11930863611455314</v>
      </c>
      <c r="H93" t="str">
        <f>D10</f>
        <v>Wärmebedarf</v>
      </c>
      <c r="I93" s="244">
        <f>H10</f>
        <v>15888.411000000002</v>
      </c>
      <c r="L93" s="205"/>
    </row>
    <row r="94" spans="2:12" x14ac:dyDescent="0.3">
      <c r="B94" s="204"/>
      <c r="D94" t="s">
        <v>1281</v>
      </c>
      <c r="E94" s="243">
        <f>MAX(H11+H12,0)</f>
        <v>2355.8415315955754</v>
      </c>
      <c r="F94" s="87">
        <f t="shared" ref="F94:F100" si="0">E94/SUM($E$93:$E$100)</f>
        <v>1.7690393333649791E-2</v>
      </c>
      <c r="H94" t="str">
        <f>D11</f>
        <v>Stromverbrauch</v>
      </c>
      <c r="I94" s="244">
        <f>H11</f>
        <v>24999.75</v>
      </c>
      <c r="L94" s="205"/>
    </row>
    <row r="95" spans="2:12" x14ac:dyDescent="0.3">
      <c r="B95" s="204"/>
      <c r="D95" t="s">
        <v>1271</v>
      </c>
      <c r="E95" s="243">
        <f>H16</f>
        <v>50046.57</v>
      </c>
      <c r="F95" s="87">
        <f t="shared" si="0"/>
        <v>0.37580775125413807</v>
      </c>
      <c r="H95" t="str">
        <f>D12</f>
        <v>bestehende PV-Anlage</v>
      </c>
      <c r="I95" s="244">
        <f>H12</f>
        <v>-22643.908468404425</v>
      </c>
      <c r="L95" s="205"/>
    </row>
    <row r="96" spans="2:12" x14ac:dyDescent="0.3">
      <c r="B96" s="204"/>
      <c r="D96" t="s">
        <v>1272</v>
      </c>
      <c r="E96" s="243">
        <f>H17</f>
        <v>9406.4024999999983</v>
      </c>
      <c r="F96" s="87">
        <f t="shared" si="0"/>
        <v>7.0634190733077251E-2</v>
      </c>
      <c r="H96" t="s">
        <v>1271</v>
      </c>
      <c r="I96" s="244">
        <f>H16</f>
        <v>50046.57</v>
      </c>
      <c r="L96" s="205"/>
    </row>
    <row r="97" spans="2:12" x14ac:dyDescent="0.3">
      <c r="B97" s="204"/>
      <c r="D97" t="s">
        <v>414</v>
      </c>
      <c r="E97" s="243">
        <f>H18</f>
        <v>12959.25</v>
      </c>
      <c r="F97" s="87">
        <f t="shared" si="0"/>
        <v>9.7313094592500315E-2</v>
      </c>
      <c r="H97" t="s">
        <v>1272</v>
      </c>
      <c r="I97" s="244">
        <f>H17</f>
        <v>9406.4024999999983</v>
      </c>
      <c r="L97" s="205"/>
    </row>
    <row r="98" spans="2:12" x14ac:dyDescent="0.3">
      <c r="B98" s="204"/>
      <c r="D98" t="s">
        <v>552</v>
      </c>
      <c r="E98" s="243">
        <f>H19</f>
        <v>6423</v>
      </c>
      <c r="F98" s="87">
        <f t="shared" si="0"/>
        <v>4.8231341055047908E-2</v>
      </c>
      <c r="H98" t="str">
        <f>D18</f>
        <v>Klassenfahrten</v>
      </c>
      <c r="I98" s="244">
        <f>H18</f>
        <v>12959.25</v>
      </c>
      <c r="L98" s="205"/>
    </row>
    <row r="99" spans="2:12" x14ac:dyDescent="0.3">
      <c r="B99" s="204"/>
      <c r="D99" t="s">
        <v>424</v>
      </c>
      <c r="E99" s="243">
        <f>H23</f>
        <v>20267.490000000002</v>
      </c>
      <c r="F99" s="87">
        <f t="shared" si="0"/>
        <v>0.1521918453245793</v>
      </c>
      <c r="H99" t="s">
        <v>552</v>
      </c>
      <c r="I99" s="244">
        <f>H19</f>
        <v>6423</v>
      </c>
      <c r="L99" s="205"/>
    </row>
    <row r="100" spans="2:12" x14ac:dyDescent="0.3">
      <c r="B100" s="204"/>
      <c r="D100" t="s">
        <v>340</v>
      </c>
      <c r="E100" s="243">
        <f>H33</f>
        <v>15823.704900000001</v>
      </c>
      <c r="F100" s="87">
        <f t="shared" si="0"/>
        <v>0.11882274759245411</v>
      </c>
      <c r="H100" t="str">
        <f>D23</f>
        <v>Schulkantine</v>
      </c>
      <c r="I100" s="244">
        <f>H23</f>
        <v>20267.490000000002</v>
      </c>
      <c r="L100" s="205"/>
    </row>
    <row r="101" spans="2:12" x14ac:dyDescent="0.3">
      <c r="B101" s="204"/>
      <c r="H101" t="str">
        <f>D26</f>
        <v>Beschaffung</v>
      </c>
      <c r="I101" s="244">
        <f>H33</f>
        <v>15823.704900000001</v>
      </c>
      <c r="L101" s="205"/>
    </row>
    <row r="102" spans="2:12" x14ac:dyDescent="0.3">
      <c r="B102" s="206"/>
      <c r="C102" s="231"/>
      <c r="D102" s="231"/>
      <c r="E102" s="231"/>
      <c r="F102" s="231"/>
      <c r="G102" s="231"/>
      <c r="H102" s="231"/>
      <c r="I102" s="231"/>
      <c r="J102" s="231"/>
      <c r="K102" s="231"/>
      <c r="L102" s="232"/>
    </row>
  </sheetData>
  <sheetProtection algorithmName="SHA-512" hashValue="Ry4DCtT+WIGBFovyc4o4iQyEogMggPWr2OufLoDNrNDtYQK466+60ydroFqePWhcA1uTb0/xMAjOe29hJoO2Cw==" saltValue="MuwJPtuGg194u7V+yRp6uw==" spinCount="100000" sheet="1" objects="1" scenarios="1"/>
  <mergeCells count="7">
    <mergeCell ref="H90:I90"/>
    <mergeCell ref="D90:E90"/>
    <mergeCell ref="D81:L82"/>
    <mergeCell ref="D86:E86"/>
    <mergeCell ref="H86:I86"/>
    <mergeCell ref="D88:E88"/>
    <mergeCell ref="H88:I88"/>
  </mergeCells>
  <hyperlinks>
    <hyperlink ref="A5" location="Inhalt!A1" display="&lt;= Start"/>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sheetPr>
  <dimension ref="A1:O243"/>
  <sheetViews>
    <sheetView showGridLines="0" zoomScale="115" zoomScaleNormal="115" workbookViewId="0">
      <selection activeCell="D12" sqref="D12"/>
    </sheetView>
  </sheetViews>
  <sheetFormatPr baseColWidth="10" defaultColWidth="0" defaultRowHeight="14.4" zeroHeight="1" x14ac:dyDescent="0.3"/>
  <cols>
    <col min="1" max="1" width="7" customWidth="1"/>
    <col min="2" max="2" width="1.6640625" customWidth="1"/>
    <col min="3" max="3" width="28.33203125" customWidth="1"/>
    <col min="4" max="4" width="10.33203125" customWidth="1"/>
    <col min="5" max="5" width="15.5546875" customWidth="1"/>
    <col min="6" max="6" width="17.33203125" customWidth="1"/>
    <col min="7" max="7" width="12.6640625" customWidth="1"/>
    <col min="8" max="8" width="15.5546875" customWidth="1"/>
    <col min="9" max="9" width="13.5546875" customWidth="1"/>
    <col min="10" max="10" width="8.88671875" customWidth="1"/>
    <col min="11" max="16384" width="8.88671875" hidden="1"/>
  </cols>
  <sheetData>
    <row r="1" spans="1:15" ht="12" customHeight="1" x14ac:dyDescent="0.3">
      <c r="A1" s="1"/>
      <c r="B1" s="1"/>
      <c r="C1" s="1"/>
      <c r="D1" s="1"/>
      <c r="E1" s="1"/>
      <c r="F1" s="1"/>
      <c r="G1" s="1"/>
      <c r="H1" s="1"/>
      <c r="I1" s="1"/>
      <c r="J1" s="1"/>
      <c r="K1" s="1"/>
      <c r="L1" s="1"/>
      <c r="M1" s="1"/>
      <c r="N1" s="1"/>
      <c r="O1" s="1"/>
    </row>
    <row r="2" spans="1:15" ht="12" customHeight="1" x14ac:dyDescent="0.3">
      <c r="A2" s="1"/>
      <c r="B2" s="1"/>
      <c r="C2" s="1"/>
      <c r="D2" s="1"/>
      <c r="E2" s="1"/>
      <c r="F2" s="1"/>
      <c r="G2" s="1"/>
      <c r="H2" s="1"/>
      <c r="I2" s="1"/>
      <c r="J2" s="1"/>
      <c r="K2" s="1"/>
      <c r="L2" s="1"/>
      <c r="M2" s="1"/>
      <c r="N2" s="1"/>
      <c r="O2" s="1"/>
    </row>
    <row r="3" spans="1:15" ht="32.4" customHeight="1" x14ac:dyDescent="0.55000000000000004">
      <c r="A3" s="1"/>
      <c r="B3" s="1"/>
      <c r="C3" s="1"/>
      <c r="D3" s="2" t="s">
        <v>923</v>
      </c>
      <c r="E3" s="1"/>
      <c r="F3" s="2"/>
      <c r="G3" s="1"/>
      <c r="H3" s="1"/>
      <c r="I3" s="1"/>
      <c r="J3" s="2"/>
      <c r="K3" s="1"/>
      <c r="L3" s="1"/>
      <c r="M3" s="1"/>
      <c r="N3" s="1"/>
      <c r="O3" s="1"/>
    </row>
    <row r="4" spans="1:15" ht="18.45" customHeight="1" thickBot="1" x14ac:dyDescent="0.4">
      <c r="A4" s="245"/>
      <c r="B4" s="245"/>
      <c r="C4" s="245"/>
      <c r="D4" s="339" t="str">
        <f>NameDerSchule</f>
        <v>Schule ABC</v>
      </c>
      <c r="E4" s="245"/>
      <c r="F4" s="245"/>
      <c r="G4" s="245"/>
      <c r="H4" s="245"/>
      <c r="I4" s="245"/>
      <c r="J4" s="245"/>
      <c r="K4" s="14"/>
      <c r="L4" s="14"/>
      <c r="M4" s="14"/>
      <c r="N4" s="14"/>
      <c r="O4" s="14"/>
    </row>
    <row r="5" spans="1:15" ht="15" thickTop="1" x14ac:dyDescent="0.3">
      <c r="A5" s="26" t="s">
        <v>63</v>
      </c>
      <c r="B5" s="26"/>
    </row>
    <row r="6" spans="1:15" x14ac:dyDescent="0.3"/>
    <row r="7" spans="1:15" ht="18" thickBot="1" x14ac:dyDescent="0.4">
      <c r="C7" s="3" t="s">
        <v>924</v>
      </c>
      <c r="D7" s="3"/>
      <c r="E7" s="3"/>
    </row>
    <row r="8" spans="1:15" ht="15" thickTop="1" x14ac:dyDescent="0.3"/>
    <row r="9" spans="1:15" ht="50.4" customHeight="1" x14ac:dyDescent="0.3">
      <c r="C9" s="681" t="s">
        <v>925</v>
      </c>
      <c r="D9" s="682"/>
      <c r="E9" s="682"/>
      <c r="F9" s="682"/>
      <c r="G9" s="682"/>
      <c r="H9" s="682"/>
      <c r="I9" s="683"/>
    </row>
    <row r="10" spans="1:15" x14ac:dyDescent="0.3">
      <c r="D10" s="325"/>
      <c r="E10" s="325"/>
      <c r="F10" s="325"/>
      <c r="G10" s="325"/>
      <c r="H10" s="325"/>
      <c r="I10" s="325"/>
    </row>
    <row r="11" spans="1:15" x14ac:dyDescent="0.3"/>
    <row r="12" spans="1:15" ht="18" thickBot="1" x14ac:dyDescent="0.4">
      <c r="C12" s="3" t="s">
        <v>926</v>
      </c>
      <c r="D12" s="3"/>
      <c r="E12" s="3"/>
    </row>
    <row r="13" spans="1:15" ht="15" thickTop="1" x14ac:dyDescent="0.3"/>
    <row r="14" spans="1:15" ht="37.799999999999997" customHeight="1" x14ac:dyDescent="0.3">
      <c r="C14" s="681" t="s">
        <v>1237</v>
      </c>
      <c r="D14" s="682"/>
      <c r="E14" s="682"/>
      <c r="F14" s="682"/>
      <c r="G14" s="682"/>
      <c r="H14" s="682"/>
      <c r="I14" s="683"/>
    </row>
    <row r="15" spans="1:15" x14ac:dyDescent="0.3"/>
    <row r="16" spans="1:15" x14ac:dyDescent="0.3">
      <c r="C16" t="s">
        <v>457</v>
      </c>
      <c r="E16" s="122">
        <v>180</v>
      </c>
    </row>
    <row r="17" spans="2:9" x14ac:dyDescent="0.3">
      <c r="C17" t="s">
        <v>458</v>
      </c>
      <c r="E17" s="122">
        <v>125</v>
      </c>
    </row>
    <row r="18" spans="2:9" x14ac:dyDescent="0.3">
      <c r="C18" t="s">
        <v>459</v>
      </c>
      <c r="E18" s="122">
        <v>55</v>
      </c>
    </row>
    <row r="19" spans="2:9" x14ac:dyDescent="0.3"/>
    <row r="20" spans="2:9" x14ac:dyDescent="0.3"/>
    <row r="21" spans="2:9" ht="18" thickBot="1" x14ac:dyDescent="0.4">
      <c r="C21" s="3" t="s">
        <v>432</v>
      </c>
      <c r="D21" s="3"/>
      <c r="E21" s="3"/>
    </row>
    <row r="22" spans="2:9" ht="15" thickTop="1" x14ac:dyDescent="0.3"/>
    <row r="23" spans="2:9" ht="39.6" customHeight="1" x14ac:dyDescent="0.3">
      <c r="C23" s="681" t="s">
        <v>1143</v>
      </c>
      <c r="D23" s="682"/>
      <c r="E23" s="682"/>
      <c r="F23" s="682"/>
      <c r="G23" s="682"/>
      <c r="H23" s="682"/>
      <c r="I23" s="683"/>
    </row>
    <row r="24" spans="2:9" ht="12" customHeight="1" x14ac:dyDescent="0.3"/>
    <row r="25" spans="2:9" ht="12" customHeight="1" x14ac:dyDescent="0.3"/>
    <row r="26" spans="2:9" ht="29.4" thickBot="1" x14ac:dyDescent="0.35">
      <c r="C26" s="115" t="s">
        <v>727</v>
      </c>
      <c r="E26" s="75" t="s">
        <v>984</v>
      </c>
      <c r="F26" s="75" t="s">
        <v>985</v>
      </c>
      <c r="G26" s="75" t="s">
        <v>986</v>
      </c>
      <c r="H26" s="75" t="s">
        <v>987</v>
      </c>
      <c r="I26" s="75"/>
    </row>
    <row r="27" spans="2:9" ht="17.399999999999999" customHeight="1" thickTop="1" thickBot="1" x14ac:dyDescent="0.35">
      <c r="B27" s="315"/>
      <c r="C27" s="26" t="s">
        <v>988</v>
      </c>
      <c r="E27" s="111">
        <f>Heizsystem!$H$51</f>
        <v>31776.822000000004</v>
      </c>
      <c r="F27" s="373">
        <v>0.5</v>
      </c>
      <c r="G27" s="106">
        <f>IF(AND(ISNUMBER(F27),F27&lt;&gt;""),MIN(F27,1),IF(F27="Anteil nach Personenzahl",AnteilSchuleNachPersonenzahl,IF(F27="Anteil nach Fläche",AnteilSchuleNachPutzflaeche,1)))</f>
        <v>0.5</v>
      </c>
      <c r="H27" s="111">
        <f>VerbrauchsanteilSchuleWaerme*E27</f>
        <v>15888.411000000002</v>
      </c>
    </row>
    <row r="28" spans="2:9" ht="17.399999999999999" customHeight="1" thickTop="1" thickBot="1" x14ac:dyDescent="0.35">
      <c r="B28" s="315"/>
      <c r="C28" s="26" t="s">
        <v>6</v>
      </c>
      <c r="E28" s="111">
        <f>Stromverbrauch!$E$32</f>
        <v>49999.5</v>
      </c>
      <c r="F28" s="373">
        <v>0.5</v>
      </c>
      <c r="G28" s="106">
        <f>IF(AND(ISNUMBER(F28),F28&lt;&gt;""),MIN(F28,1),IF(F28="Anteil nach Personenzahl",AnteilSchuleNachPersonenzahl,IF(F28="Anteil nach Fläche",AnteilSchuleNachPutzflaeche,1)))</f>
        <v>0.5</v>
      </c>
      <c r="H28" s="111">
        <f>VerbrauchsanteilSchuleStrom*E28</f>
        <v>24999.75</v>
      </c>
    </row>
    <row r="29" spans="2:9" ht="17.399999999999999" customHeight="1" thickTop="1" thickBot="1" x14ac:dyDescent="0.35">
      <c r="B29" s="315"/>
      <c r="C29" s="26" t="s">
        <v>7</v>
      </c>
      <c r="E29" s="111">
        <f>-PV!D69</f>
        <v>-45287.816936808849</v>
      </c>
      <c r="F29" s="373">
        <v>0.5</v>
      </c>
      <c r="G29" s="106">
        <f>IF(AND(ISNUMBER(F29),F29&lt;&gt;""),MIN(F29,1),IF(F29="Anteil nach Personenzahl",AnteilSchuleNachPersonenzahl,IF(F29="Anteil nach Fläche",AnteilSchuleNachPutzflaeche,1)))</f>
        <v>0.5</v>
      </c>
      <c r="H29" s="111">
        <f>VerbrauchsanteilSchulePV*E29</f>
        <v>-22643.908468404425</v>
      </c>
    </row>
    <row r="30" spans="2:9" ht="17.399999999999999" customHeight="1" thickTop="1" thickBot="1" x14ac:dyDescent="0.35">
      <c r="C30" s="8" t="s">
        <v>728</v>
      </c>
    </row>
    <row r="31" spans="2:9" ht="17.399999999999999" customHeight="1" thickTop="1" thickBot="1" x14ac:dyDescent="0.35">
      <c r="B31" s="320"/>
      <c r="C31" s="201" t="s">
        <v>1401</v>
      </c>
      <c r="E31" s="111">
        <f>Schulwege!$G$76</f>
        <v>100093.14</v>
      </c>
      <c r="F31" s="373">
        <v>0.5</v>
      </c>
      <c r="G31" s="106">
        <f>IF(AND(ISNUMBER(F31),F31&lt;&gt;""),MIN(F31,1),IF(F31="Anteil nach Personenzahl",AnteilSchuleNachPersonenzahl,IF(F31="Anteil nach Fläche",AnteilSchuleNachPutzflaeche,1)))</f>
        <v>0.5</v>
      </c>
      <c r="H31" s="111">
        <f>IF(Schulwege!$E$299="vereinfachte Abschätzung",E32,VerbrauchsanteilSchuleSchuelerweg*E31)</f>
        <v>50046.57</v>
      </c>
    </row>
    <row r="32" spans="2:9" ht="17.399999999999999" customHeight="1" thickTop="1" thickBot="1" x14ac:dyDescent="0.35">
      <c r="B32" s="320"/>
      <c r="C32" s="26"/>
      <c r="D32" s="15" t="s">
        <v>1062</v>
      </c>
      <c r="E32" s="111">
        <f>IF(Schulwege!$E$299="vereinfachte Abschätzung",Schulwege!$I$312,0)</f>
        <v>0</v>
      </c>
      <c r="F32" s="500" t="str">
        <f>IF(Schulwege!$E$299="vereinfachte Abschätzung","Die vereinfachte Abschätzung wird verwendet","(nicht verwendet)")</f>
        <v>(nicht verwendet)</v>
      </c>
    </row>
    <row r="33" spans="2:8" ht="17.399999999999999" customHeight="1" thickTop="1" thickBot="1" x14ac:dyDescent="0.35">
      <c r="B33" s="320"/>
      <c r="C33" s="201" t="s">
        <v>1441</v>
      </c>
      <c r="E33" s="111">
        <f>Schulwege!$G$203</f>
        <v>18812.804999999997</v>
      </c>
      <c r="F33" s="373">
        <v>0.5</v>
      </c>
      <c r="G33" s="106">
        <f>IF(AND(ISNUMBER(F33),F33&lt;&gt;""),MIN(F33,1),IF(F33="Anteil nach Personenzahl",AnteilSchuleNachPersonenzahl,IF(F33="Anteil nach Fläche",AnteilSchuleNachPutzflaeche,1)))</f>
        <v>0.5</v>
      </c>
      <c r="H33" s="111">
        <f>IF(Schulwege!$E$317="vereinfachte Abschätzung",E34,VerbrauchsanteilSchuleLehrerweg*E33)</f>
        <v>9406.4024999999983</v>
      </c>
    </row>
    <row r="34" spans="2:8" ht="17.399999999999999" customHeight="1" thickTop="1" thickBot="1" x14ac:dyDescent="0.35">
      <c r="B34" s="320"/>
      <c r="C34" s="26"/>
      <c r="D34" s="15" t="s">
        <v>1062</v>
      </c>
      <c r="E34" s="111">
        <f>IF(Schulwege!$E$317="vereinfachte Abschätzung",Schulwege!$I$330,0)</f>
        <v>0</v>
      </c>
      <c r="F34" s="500" t="str">
        <f>IF(Schulwege!$E$317="vereinfachte Abschätzung","Die vereinfachte Abschätzung wird verwendet","(nicht verwendet)")</f>
        <v>(nicht verwendet)</v>
      </c>
    </row>
    <row r="35" spans="2:8" ht="17.399999999999999" customHeight="1" thickTop="1" thickBot="1" x14ac:dyDescent="0.35">
      <c r="B35" s="320"/>
      <c r="C35" s="26" t="s">
        <v>414</v>
      </c>
      <c r="E35" s="111">
        <f>Klassenfahrten!$H$16</f>
        <v>25918.5</v>
      </c>
      <c r="F35" s="373">
        <v>0.5</v>
      </c>
      <c r="G35" s="106">
        <f>IF(AND(ISNUMBER(F35),F35&lt;&gt;""),MIN(F35,1),IF(F35="Anteil nach Personenzahl",AnteilSchuleNachPersonenzahl,IF(F35="Anteil nach Fläche",AnteilSchuleNachPutzflaeche,1)))</f>
        <v>0.5</v>
      </c>
      <c r="H35" s="111">
        <f>VerbrauchsanteilSchuleKlassenfahrten*E35</f>
        <v>12959.25</v>
      </c>
    </row>
    <row r="36" spans="2:8" ht="17.399999999999999" customHeight="1" thickTop="1" thickBot="1" x14ac:dyDescent="0.35">
      <c r="B36" s="320"/>
      <c r="C36" s="201" t="s">
        <v>552</v>
      </c>
      <c r="E36" s="111">
        <f>Schüleraustausch!G18</f>
        <v>12846</v>
      </c>
      <c r="F36" s="373">
        <v>0.5</v>
      </c>
      <c r="G36" s="106">
        <f>IF(AND(ISNUMBER(F36),F36&lt;&gt;""),MIN(F36,1),IF(F36="Anteil nach Personenzahl",AnteilSchuleNachPersonenzahl,IF(F36="Anteil nach Fläche",AnteilSchuleNachPutzflaeche,1)))</f>
        <v>0.5</v>
      </c>
      <c r="H36" s="111">
        <f>VerbrauchsanteilSchuleAustauschprogramme*E36</f>
        <v>6423</v>
      </c>
    </row>
    <row r="37" spans="2:8" ht="17.399999999999999" customHeight="1" thickTop="1" thickBot="1" x14ac:dyDescent="0.35">
      <c r="C37" s="8" t="s">
        <v>117</v>
      </c>
    </row>
    <row r="38" spans="2:8" ht="17.399999999999999" customHeight="1" thickTop="1" thickBot="1" x14ac:dyDescent="0.35">
      <c r="B38" s="321"/>
      <c r="C38" s="201" t="s">
        <v>1218</v>
      </c>
      <c r="D38" s="15" t="s">
        <v>1063</v>
      </c>
      <c r="E38" s="111">
        <f>Ernährung!E$146</f>
        <v>53994.6</v>
      </c>
      <c r="F38" s="373">
        <v>0.5</v>
      </c>
      <c r="G38" s="106">
        <f>IF(AND(ISNUMBER(F38),F38&lt;&gt;""),MIN(F38,1),IF(F38="Anteil nach Personenzahl",AnteilSchuleNachPersonenzahl,IF(F38="Anteil nach Fläche",AnteilSchuleNachPutzflaeche,1)))</f>
        <v>0.5</v>
      </c>
      <c r="H38" s="111">
        <f>IF(Ernährung!$D$29="vereinfachte Abschätzung",VerbrauchsanteilSchuleErnaehrung*E39,VerbrauchsanteilSchuleErnaehrung*E38)</f>
        <v>19425</v>
      </c>
    </row>
    <row r="39" spans="2:8" ht="17.399999999999999" customHeight="1" thickTop="1" thickBot="1" x14ac:dyDescent="0.35">
      <c r="B39" s="321"/>
      <c r="C39" s="26"/>
      <c r="D39" s="15" t="s">
        <v>1062</v>
      </c>
      <c r="E39" s="111">
        <f>Ernährung!$G$44</f>
        <v>38850</v>
      </c>
      <c r="F39" s="500" t="str">
        <f>IF(Ernährung!$D$29="vereinfachte Abschätzung","Die vereinfachte Abschätzung wird verwendet","(nicht verwendet)")</f>
        <v>Die vereinfachte Abschätzung wird verwendet</v>
      </c>
    </row>
    <row r="40" spans="2:8" ht="17.399999999999999" customHeight="1" thickTop="1" thickBot="1" x14ac:dyDescent="0.35">
      <c r="B40" s="321"/>
      <c r="C40" s="201" t="s">
        <v>1392</v>
      </c>
      <c r="D40" s="15"/>
      <c r="E40" s="111">
        <f>Ernährung!F179</f>
        <v>1684.98</v>
      </c>
      <c r="F40" s="373">
        <v>0.5</v>
      </c>
      <c r="G40" s="106">
        <f>IF(AND(ISNUMBER(F40),F40&lt;&gt;""),MIN(F40,1),IF(F40="Anteil nach Personenzahl",AnteilSchuleNachPersonenzahl,IF(F40="Anteil nach Fläche",AnteilSchuleNachPutzflaeche,1)))</f>
        <v>0.5</v>
      </c>
      <c r="H40" s="111">
        <f>VerbrauchsanteilSchuleSnacks*E40</f>
        <v>842.49</v>
      </c>
    </row>
    <row r="41" spans="2:8" ht="17.399999999999999" customHeight="1" thickTop="1" thickBot="1" x14ac:dyDescent="0.35">
      <c r="C41" s="8" t="s">
        <v>340</v>
      </c>
    </row>
    <row r="42" spans="2:8" ht="17.399999999999999" customHeight="1" thickTop="1" thickBot="1" x14ac:dyDescent="0.35">
      <c r="B42" s="322"/>
      <c r="C42" s="201" t="s">
        <v>960</v>
      </c>
      <c r="E42" s="111">
        <f>Beschaffung_1!G13</f>
        <v>8113.5450000000001</v>
      </c>
      <c r="F42" s="373">
        <v>0.5</v>
      </c>
      <c r="G42" s="106">
        <f t="shared" ref="G42:G47" si="0">IF(AND(ISNUMBER(F42),F42&lt;&gt;""),MIN(F42,1),IF(F42="Anteil nach Personenzahl",AnteilSchuleNachPersonenzahl,IF(F42="Anteil nach Fläche",AnteilSchuleNachPutzflaeche,1)))</f>
        <v>0.5</v>
      </c>
      <c r="H42" s="111">
        <f>VerbrauchsanteilSchulePapier*E42</f>
        <v>4056.7725</v>
      </c>
    </row>
    <row r="43" spans="2:8" ht="17.399999999999999" customHeight="1" thickTop="1" thickBot="1" x14ac:dyDescent="0.35">
      <c r="B43" s="322"/>
      <c r="C43" s="201" t="s">
        <v>968</v>
      </c>
      <c r="E43" s="111">
        <f>Beschaffung_2!G33</f>
        <v>5634.3600000000006</v>
      </c>
      <c r="F43" s="373">
        <v>0.5</v>
      </c>
      <c r="G43" s="106">
        <f t="shared" si="0"/>
        <v>0.5</v>
      </c>
      <c r="H43" s="111">
        <f>VerbrauchsanteilSchuleWasser*E43</f>
        <v>2817.1800000000003</v>
      </c>
    </row>
    <row r="44" spans="2:8" ht="17.399999999999999" customHeight="1" thickTop="1" thickBot="1" x14ac:dyDescent="0.35">
      <c r="B44" s="322"/>
      <c r="C44" s="201" t="s">
        <v>1054</v>
      </c>
      <c r="E44" s="111">
        <f>Beschaffung_2!G48</f>
        <v>100.50479999999999</v>
      </c>
      <c r="F44" s="373">
        <v>0.5</v>
      </c>
      <c r="G44" s="106">
        <f t="shared" si="0"/>
        <v>0.5</v>
      </c>
      <c r="H44" s="111">
        <f>VerbrauchsanteilSchuleRestmüll*E44</f>
        <v>50.252399999999994</v>
      </c>
    </row>
    <row r="45" spans="2:8" ht="17.399999999999999" customHeight="1" thickTop="1" thickBot="1" x14ac:dyDescent="0.35">
      <c r="B45" s="322"/>
      <c r="C45" s="201" t="s">
        <v>1148</v>
      </c>
      <c r="E45" s="111">
        <f>Beschaffung_2!G109</f>
        <v>3330</v>
      </c>
      <c r="F45" s="373">
        <v>0.5</v>
      </c>
      <c r="G45" s="106">
        <f t="shared" si="0"/>
        <v>0.5</v>
      </c>
      <c r="H45" s="111">
        <f>VerbrauchsanteilSchuleSchulbücher*E45</f>
        <v>1665</v>
      </c>
    </row>
    <row r="46" spans="2:8" ht="17.399999999999999" customHeight="1" thickTop="1" thickBot="1" x14ac:dyDescent="0.35">
      <c r="B46" s="322"/>
      <c r="C46" s="201" t="s">
        <v>1146</v>
      </c>
      <c r="E46" s="111">
        <f>Beschaffung_2!G58</f>
        <v>11000</v>
      </c>
      <c r="F46" s="373">
        <v>0.5</v>
      </c>
      <c r="G46" s="106">
        <f t="shared" si="0"/>
        <v>0.5</v>
      </c>
      <c r="H46" s="111">
        <f>VerbrauchsanteilSchuleMöbel*$E$46</f>
        <v>5500</v>
      </c>
    </row>
    <row r="47" spans="2:8" ht="17.399999999999999" customHeight="1" thickTop="1" thickBot="1" x14ac:dyDescent="0.35">
      <c r="B47" s="322"/>
      <c r="C47" s="201" t="s">
        <v>1147</v>
      </c>
      <c r="E47" s="111">
        <f>Beschaffung_2!G93</f>
        <v>3469</v>
      </c>
      <c r="F47" s="373">
        <v>0.5</v>
      </c>
      <c r="G47" s="106">
        <f t="shared" si="0"/>
        <v>0.5</v>
      </c>
      <c r="H47" s="111">
        <f>VerbrauchsanteilSchuleIT*$E$47</f>
        <v>1734.5</v>
      </c>
    </row>
    <row r="48" spans="2:8" ht="17.399999999999999" customHeight="1" thickTop="1" x14ac:dyDescent="0.3">
      <c r="C48" s="384" t="str">
        <f>IF(AND($H$51&gt;0,AnteilSchuleNachPutzflaeche=1),"Zur Verteilung nach Fläche fehlen unten noch Flächenangaben.","")</f>
        <v/>
      </c>
    </row>
    <row r="49" spans="3:8" ht="17.399999999999999" customHeight="1" x14ac:dyDescent="0.3">
      <c r="C49" s="384" t="str">
        <f>IF(AND($H$69&gt;0,AnteilSchuleNachPersonenzahl=1),"Zur Verteilung nach Personenzahl fehlen unten noch Personenangaben.","")</f>
        <v/>
      </c>
    </row>
    <row r="50" spans="3:8" ht="17.399999999999999" customHeight="1" x14ac:dyDescent="0.3"/>
    <row r="51" spans="3:8" ht="17.399999999999999" customHeight="1" thickBot="1" x14ac:dyDescent="0.35">
      <c r="C51" s="437" t="s">
        <v>439</v>
      </c>
      <c r="D51" s="437"/>
      <c r="H51">
        <f>COUNTIF($F$27:$F$47,"Anteil nach Fläche")</f>
        <v>0</v>
      </c>
    </row>
    <row r="52" spans="3:8" ht="11.4" customHeight="1" x14ac:dyDescent="0.3">
      <c r="C52" s="8"/>
    </row>
    <row r="53" spans="3:8" ht="17.399999999999999" customHeight="1" x14ac:dyDescent="0.3">
      <c r="C53" s="652" t="str">
        <f>IF(COUNTIF($F$27:$F$47,"Anteil nach Fläche")&gt;0,"In mindestens einem Bereich wurde eine Aufteilung nach Fläche gewählt. Für die Aufteilung nach Fläche wird die Nutzfläche/Putzfläche der Schule und des Schulzentrums benötigt.","Da bei keiner der oben genannten Verbrauchsbereiche eine Aufteilung nach Fläche gewählt wurde, ist dieser Bereich nicht in Verwendung. Hier sind keine Eingaben notwendig.")</f>
        <v>Da bei keiner der oben genannten Verbrauchsbereiche eine Aufteilung nach Fläche gewählt wurde, ist dieser Bereich nicht in Verwendung. Hier sind keine Eingaben notwendig.</v>
      </c>
      <c r="D53" s="653"/>
      <c r="E53" s="653"/>
      <c r="F53" s="653"/>
      <c r="G53" s="653"/>
      <c r="H53" s="654"/>
    </row>
    <row r="54" spans="3:8" ht="17.399999999999999" customHeight="1" x14ac:dyDescent="0.3">
      <c r="C54" s="655"/>
      <c r="D54" s="656"/>
      <c r="E54" s="656"/>
      <c r="F54" s="656"/>
      <c r="G54" s="656"/>
      <c r="H54" s="657"/>
    </row>
    <row r="55" spans="3:8" ht="17.399999999999999" customHeight="1" x14ac:dyDescent="0.3">
      <c r="C55" s="8"/>
    </row>
    <row r="56" spans="3:8" ht="17.399999999999999" customHeight="1" x14ac:dyDescent="0.3">
      <c r="C56" t="s">
        <v>1172</v>
      </c>
      <c r="E56" s="107">
        <f>IF(Allgemeines!$E$20="","",Allgemeines!$E$20)</f>
        <v>9999</v>
      </c>
      <c r="F56" t="s">
        <v>440</v>
      </c>
      <c r="G56" s="201" t="s">
        <v>1277</v>
      </c>
    </row>
    <row r="57" spans="3:8" ht="17.399999999999999" customHeight="1" thickBot="1" x14ac:dyDescent="0.35">
      <c r="C57" t="s">
        <v>441</v>
      </c>
      <c r="E57" s="107">
        <f>IF(Allgemeines!$E$21="","",Allgemeines!$E$21)</f>
        <v>999</v>
      </c>
      <c r="F57" t="s">
        <v>440</v>
      </c>
    </row>
    <row r="58" spans="3:8" ht="17.399999999999999" customHeight="1" thickTop="1" thickBot="1" x14ac:dyDescent="0.35">
      <c r="C58" t="s">
        <v>121</v>
      </c>
      <c r="E58" s="185" t="s">
        <v>27</v>
      </c>
    </row>
    <row r="59" spans="3:8" ht="17.399999999999999" customHeight="1" thickTop="1" x14ac:dyDescent="0.3">
      <c r="C59" t="s">
        <v>1174</v>
      </c>
      <c r="E59" s="186"/>
      <c r="F59" t="s">
        <v>440</v>
      </c>
    </row>
    <row r="60" spans="3:8" ht="17.399999999999999" customHeight="1" x14ac:dyDescent="0.3">
      <c r="C60" t="s">
        <v>1178</v>
      </c>
      <c r="E60" s="107">
        <f>IF(OR(E56="",AND(E57="",E59="")),"",IF(E59&gt;E56,E59,E56))</f>
        <v>9999</v>
      </c>
      <c r="F60" t="s">
        <v>440</v>
      </c>
    </row>
    <row r="61" spans="3:8" ht="17.399999999999999" customHeight="1" x14ac:dyDescent="0.3">
      <c r="C61" s="8"/>
    </row>
    <row r="62" spans="3:8" ht="17.399999999999999" customHeight="1" x14ac:dyDescent="0.3">
      <c r="C62" t="s">
        <v>1173</v>
      </c>
      <c r="E62" s="106">
        <f>IF(E60="",1,(E56-E57)/E60)</f>
        <v>0.90009000900090008</v>
      </c>
    </row>
    <row r="63" spans="3:8" ht="17.399999999999999" customHeight="1" x14ac:dyDescent="0.3">
      <c r="C63" t="s">
        <v>1175</v>
      </c>
      <c r="E63" s="106">
        <f>IF(E60="",0,E57/E60*(1-VLOOKUP(E58,Lookup!E59:F64,2,FALSE)))</f>
        <v>9.9909990999099904E-2</v>
      </c>
    </row>
    <row r="64" spans="3:8" ht="17.399999999999999" customHeight="1" x14ac:dyDescent="0.3">
      <c r="C64" s="8" t="s">
        <v>1176</v>
      </c>
      <c r="D64" s="8"/>
      <c r="E64" s="440">
        <f>IF(E60="",1,E62+E63)</f>
        <v>1</v>
      </c>
    </row>
    <row r="65" spans="3:8" ht="17.399999999999999" customHeight="1" x14ac:dyDescent="0.3">
      <c r="C65" s="8"/>
    </row>
    <row r="66" spans="3:8" ht="17.399999999999999" customHeight="1" x14ac:dyDescent="0.3">
      <c r="C66" t="s">
        <v>1177</v>
      </c>
      <c r="E66" s="106">
        <f>IF(E60="",0,E57/E60*VLOOKUP(E58,Lookup!E59:F64,2,FALSE))</f>
        <v>0</v>
      </c>
    </row>
    <row r="67" spans="3:8" ht="17.399999999999999" customHeight="1" x14ac:dyDescent="0.3">
      <c r="C67" t="s">
        <v>1179</v>
      </c>
      <c r="E67" s="106">
        <f>IF(E60="",0,(E60-E56)/E60+E66)</f>
        <v>0</v>
      </c>
    </row>
    <row r="68" spans="3:8" ht="17.399999999999999" customHeight="1" x14ac:dyDescent="0.3"/>
    <row r="69" spans="3:8" ht="17.399999999999999" customHeight="1" thickBot="1" x14ac:dyDescent="0.35">
      <c r="C69" s="437" t="s">
        <v>1238</v>
      </c>
      <c r="D69" s="437"/>
      <c r="H69">
        <f>COUNTIF($F$27:$F$47,"Anteil nach Personenzahl")</f>
        <v>0</v>
      </c>
    </row>
    <row r="70" spans="3:8" ht="11.4" customHeight="1" x14ac:dyDescent="0.3"/>
    <row r="71" spans="3:8" ht="17.399999999999999" customHeight="1" x14ac:dyDescent="0.3">
      <c r="C71" s="652" t="str">
        <f>IF(COUNTIF($F$27:$F$47,"Anteil nach Personenzahl")&gt;0,"In mindestens einem Bereich wurde eine Aufteilung nach Personenzahl gewählt. Für die Aufteilung nach Personenzahl wird die Personenzahl im gesamten Schulzentrums benötigt.","Da bei keiner der oben genannten Verbrauchsbereiche eine Aufteilung nach Personenzahl gewählt wurde, ist dieser Bereich nicht in Verwendung. Hier sind keine Eingaben notwendig.")</f>
        <v>Da bei keiner der oben genannten Verbrauchsbereiche eine Aufteilung nach Personenzahl gewählt wurde, ist dieser Bereich nicht in Verwendung. Hier sind keine Eingaben notwendig.</v>
      </c>
      <c r="D71" s="653"/>
      <c r="E71" s="653"/>
      <c r="F71" s="653"/>
      <c r="G71" s="653"/>
      <c r="H71" s="654"/>
    </row>
    <row r="72" spans="3:8" ht="17.399999999999999" customHeight="1" x14ac:dyDescent="0.3">
      <c r="C72" s="655"/>
      <c r="D72" s="656"/>
      <c r="E72" s="656"/>
      <c r="F72" s="656"/>
      <c r="G72" s="656"/>
      <c r="H72" s="657"/>
    </row>
    <row r="73" spans="3:8" ht="17.399999999999999" customHeight="1" thickBot="1" x14ac:dyDescent="0.35">
      <c r="C73" s="411"/>
      <c r="D73" s="411"/>
      <c r="E73" s="411"/>
      <c r="F73" s="411"/>
      <c r="G73" s="411"/>
      <c r="H73" s="411"/>
    </row>
    <row r="74" spans="3:8" ht="17.399999999999999" customHeight="1" thickBot="1" x14ac:dyDescent="0.35">
      <c r="C74" t="s">
        <v>1442</v>
      </c>
      <c r="E74" s="186">
        <v>2000</v>
      </c>
      <c r="F74" s="163" t="str">
        <f>IF(E74="","",IF(AnzahlSchueler&gt;E74,"Die Anzahl der Schüler im Schulzentrum sollte höher sein als die Anzahl der Schüler an der Schule.",""))</f>
        <v/>
      </c>
    </row>
    <row r="75" spans="3:8" ht="17.399999999999999" customHeight="1" x14ac:dyDescent="0.3">
      <c r="C75" t="s">
        <v>1443</v>
      </c>
      <c r="E75" s="187">
        <v>120</v>
      </c>
    </row>
    <row r="76" spans="3:8" ht="17.399999999999999" customHeight="1" x14ac:dyDescent="0.3">
      <c r="E76" s="107">
        <f>SUM(E74:E75)</f>
        <v>2120</v>
      </c>
    </row>
    <row r="77" spans="3:8" x14ac:dyDescent="0.3">
      <c r="C77" t="s">
        <v>442</v>
      </c>
      <c r="E77" s="106">
        <f>IF(E76=0,1,Allgemeines!E17/E76)</f>
        <v>0.51792452830188684</v>
      </c>
    </row>
    <row r="78" spans="3:8" x14ac:dyDescent="0.3"/>
    <row r="79" spans="3:8" x14ac:dyDescent="0.3"/>
    <row r="80" spans="3:8" ht="18" thickBot="1" x14ac:dyDescent="0.4">
      <c r="C80" s="3" t="s">
        <v>480</v>
      </c>
      <c r="D80" s="3"/>
      <c r="E80" s="3"/>
    </row>
    <row r="81" spans="2:9" ht="15" thickTop="1" x14ac:dyDescent="0.3"/>
    <row r="82" spans="2:9" ht="52.2" customHeight="1" x14ac:dyDescent="0.3">
      <c r="C82" s="681" t="s">
        <v>927</v>
      </c>
      <c r="D82" s="682"/>
      <c r="E82" s="682"/>
      <c r="F82" s="682"/>
      <c r="G82" s="682"/>
      <c r="H82" s="682"/>
      <c r="I82" s="683"/>
    </row>
    <row r="83" spans="2:9" x14ac:dyDescent="0.3"/>
    <row r="84" spans="2:9" x14ac:dyDescent="0.3">
      <c r="C84" s="8" t="str">
        <f>"Als Bezugsjahr ist derzeit "&amp;Bezugsjahr&amp;" eingestellt."</f>
        <v>Als Bezugsjahr ist derzeit 2023 eingestellt.</v>
      </c>
    </row>
    <row r="85" spans="2:9" x14ac:dyDescent="0.3">
      <c r="C85" s="8" t="str">
        <f>"Zur Berechnung werden die Emissionsfaktoren für das Jahr "&amp;BezugsjahrEmissionsfaktoren&amp;" verwendet."</f>
        <v>Zur Berechnung werden die Emissionsfaktoren für das Jahr 2023 verwendet.</v>
      </c>
    </row>
    <row r="86" spans="2:9" x14ac:dyDescent="0.3">
      <c r="C86" s="201" t="s">
        <v>928</v>
      </c>
    </row>
    <row r="87" spans="2:9" x14ac:dyDescent="0.3"/>
    <row r="88" spans="2:9" x14ac:dyDescent="0.3"/>
    <row r="89" spans="2:9" x14ac:dyDescent="0.3">
      <c r="B89" s="315"/>
      <c r="C89" s="109" t="s">
        <v>727</v>
      </c>
    </row>
    <row r="90" spans="2:9" ht="30" x14ac:dyDescent="0.35">
      <c r="B90" s="315"/>
      <c r="C90" s="8" t="s">
        <v>481</v>
      </c>
      <c r="D90" s="8" t="s">
        <v>46</v>
      </c>
      <c r="E90" s="8" t="s">
        <v>526</v>
      </c>
      <c r="F90" s="8" t="s">
        <v>399</v>
      </c>
      <c r="H90" s="158" t="s">
        <v>1253</v>
      </c>
      <c r="I90" s="159" t="s">
        <v>528</v>
      </c>
    </row>
    <row r="91" spans="2:9" ht="16.2" x14ac:dyDescent="0.3">
      <c r="B91" s="315"/>
      <c r="C91" s="31" t="s">
        <v>52</v>
      </c>
      <c r="D91" s="31" t="s">
        <v>980</v>
      </c>
      <c r="E91" s="157">
        <v>2.4710000000000001</v>
      </c>
      <c r="F91" s="31"/>
      <c r="G91" s="31"/>
      <c r="H91" s="249"/>
      <c r="I91" s="304">
        <f>IF(H91="",E91,H91)</f>
        <v>2.4710000000000001</v>
      </c>
    </row>
    <row r="92" spans="2:9" x14ac:dyDescent="0.3">
      <c r="B92" s="315"/>
      <c r="C92" s="31" t="s">
        <v>52</v>
      </c>
      <c r="D92" s="31" t="s">
        <v>48</v>
      </c>
      <c r="E92" s="157">
        <v>0.25190000000000001</v>
      </c>
      <c r="F92" s="31" t="s">
        <v>484</v>
      </c>
      <c r="G92" s="160" t="s">
        <v>73</v>
      </c>
      <c r="H92" s="249"/>
      <c r="I92" s="304">
        <f>IF(H92="",E92,H92)</f>
        <v>0.25190000000000001</v>
      </c>
    </row>
    <row r="93" spans="2:9" x14ac:dyDescent="0.3">
      <c r="B93" s="315"/>
      <c r="C93" s="31" t="s">
        <v>53</v>
      </c>
      <c r="D93" s="31" t="s">
        <v>50</v>
      </c>
      <c r="E93" s="157">
        <v>3.1779999999999999</v>
      </c>
      <c r="F93" s="31"/>
      <c r="G93" s="31"/>
      <c r="H93" s="249"/>
      <c r="I93" s="304">
        <f>IF(H93="",E93,H93)</f>
        <v>3.1779999999999999</v>
      </c>
    </row>
    <row r="94" spans="2:9" x14ac:dyDescent="0.3">
      <c r="B94" s="315"/>
      <c r="C94" s="31" t="s">
        <v>53</v>
      </c>
      <c r="D94" s="31" t="s">
        <v>48</v>
      </c>
      <c r="E94" s="157">
        <v>0.318</v>
      </c>
      <c r="F94" s="31" t="s">
        <v>484</v>
      </c>
      <c r="G94" s="160" t="s">
        <v>73</v>
      </c>
      <c r="H94" s="249"/>
      <c r="I94" s="304">
        <f t="shared" ref="I94:I103" si="1">IF(H94="",E94,H94)</f>
        <v>0.318</v>
      </c>
    </row>
    <row r="95" spans="2:9" x14ac:dyDescent="0.3">
      <c r="B95" s="315"/>
      <c r="C95" s="31" t="s">
        <v>60</v>
      </c>
      <c r="D95" s="31" t="s">
        <v>51</v>
      </c>
      <c r="E95" s="157">
        <v>7.3999999999999996E-2</v>
      </c>
      <c r="F95" s="31"/>
      <c r="G95" s="31"/>
      <c r="H95" s="249"/>
      <c r="I95" s="304">
        <f t="shared" si="1"/>
        <v>7.3999999999999996E-2</v>
      </c>
    </row>
    <row r="96" spans="2:9" x14ac:dyDescent="0.3">
      <c r="B96" s="315"/>
      <c r="C96" s="31" t="s">
        <v>60</v>
      </c>
      <c r="D96" s="31" t="s">
        <v>537</v>
      </c>
      <c r="E96" s="157">
        <f>E95*300</f>
        <v>22.2</v>
      </c>
      <c r="F96" s="31" t="s">
        <v>538</v>
      </c>
      <c r="G96" s="31"/>
      <c r="H96" s="249"/>
      <c r="I96" s="304">
        <f t="shared" si="1"/>
        <v>22.2</v>
      </c>
    </row>
    <row r="97" spans="2:9" x14ac:dyDescent="0.3">
      <c r="B97" s="315"/>
      <c r="C97" s="31" t="s">
        <v>61</v>
      </c>
      <c r="D97" s="31" t="s">
        <v>51</v>
      </c>
      <c r="E97" s="157">
        <v>0.12</v>
      </c>
      <c r="F97" s="31"/>
      <c r="G97" s="31"/>
      <c r="H97" s="249"/>
      <c r="I97" s="304">
        <f t="shared" si="1"/>
        <v>0.12</v>
      </c>
    </row>
    <row r="98" spans="2:9" x14ac:dyDescent="0.3">
      <c r="B98" s="315"/>
      <c r="C98" s="31" t="s">
        <v>56</v>
      </c>
      <c r="D98" s="31" t="s">
        <v>48</v>
      </c>
      <c r="E98" s="157">
        <v>0.26100000000000001</v>
      </c>
      <c r="F98" s="31"/>
      <c r="G98" s="31"/>
      <c r="H98" s="249"/>
      <c r="I98" s="304">
        <f t="shared" si="1"/>
        <v>0.26100000000000001</v>
      </c>
    </row>
    <row r="99" spans="2:9" x14ac:dyDescent="0.3">
      <c r="B99" s="315"/>
      <c r="C99" s="31" t="str" cm="1">
        <f t="array" ref="C99">INDEX(C159:C164,BezugsjahrSpalte)</f>
        <v>Strommix 2023</v>
      </c>
      <c r="D99" s="31" t="s">
        <v>48</v>
      </c>
      <c r="E99" s="157" cm="1">
        <f t="array" ref="E99">INDEX(E159:E164,BezugsjahrSpalte)</f>
        <v>0.5</v>
      </c>
      <c r="F99" s="31" t="str" cm="1">
        <f t="array" ref="F99">INDEX(G159:G164,BezugsjahrSpalte)</f>
        <v>Schätzwert</v>
      </c>
      <c r="G99" s="31"/>
      <c r="H99" s="249"/>
      <c r="I99" s="304">
        <f t="shared" si="1"/>
        <v>0.5</v>
      </c>
    </row>
    <row r="100" spans="2:9" x14ac:dyDescent="0.3">
      <c r="B100" s="315"/>
      <c r="C100" s="31" t="s">
        <v>130</v>
      </c>
      <c r="D100" s="31" t="s">
        <v>48</v>
      </c>
      <c r="E100" s="157">
        <f>E99</f>
        <v>0.5</v>
      </c>
      <c r="F100" s="31" t="str">
        <f>F99</f>
        <v>Schätzwert</v>
      </c>
      <c r="G100" s="31"/>
      <c r="H100" s="249"/>
      <c r="I100" s="304">
        <f t="shared" si="1"/>
        <v>0.5</v>
      </c>
    </row>
    <row r="101" spans="2:9" x14ac:dyDescent="0.3">
      <c r="B101" s="315"/>
      <c r="C101" s="31" t="s">
        <v>549</v>
      </c>
      <c r="D101" s="31" t="s">
        <v>48</v>
      </c>
      <c r="E101" s="157">
        <v>0.84</v>
      </c>
      <c r="F101" s="533" t="s">
        <v>550</v>
      </c>
      <c r="G101" s="160"/>
      <c r="H101" s="249"/>
      <c r="I101" s="304">
        <f t="shared" si="1"/>
        <v>0.84</v>
      </c>
    </row>
    <row r="102" spans="2:9" x14ac:dyDescent="0.3">
      <c r="B102" s="315"/>
      <c r="C102" s="31" t="s">
        <v>487</v>
      </c>
      <c r="D102" s="31" t="s">
        <v>50</v>
      </c>
      <c r="E102" s="157">
        <v>3.0550000000000002</v>
      </c>
      <c r="F102" s="31" t="s">
        <v>488</v>
      </c>
      <c r="G102" s="160" t="s">
        <v>73</v>
      </c>
      <c r="H102" s="249"/>
      <c r="I102" s="304">
        <f t="shared" si="1"/>
        <v>3.0550000000000002</v>
      </c>
    </row>
    <row r="103" spans="2:9" x14ac:dyDescent="0.3">
      <c r="B103" s="315"/>
      <c r="C103" s="31" t="s">
        <v>486</v>
      </c>
      <c r="D103" s="31" t="s">
        <v>50</v>
      </c>
      <c r="E103" s="157">
        <v>3.0579999999999998</v>
      </c>
      <c r="F103" s="31" t="s">
        <v>488</v>
      </c>
      <c r="G103" s="160" t="s">
        <v>73</v>
      </c>
      <c r="H103" s="249"/>
      <c r="I103" s="304">
        <f t="shared" si="1"/>
        <v>3.0579999999999998</v>
      </c>
    </row>
    <row r="104" spans="2:9" x14ac:dyDescent="0.3"/>
    <row r="105" spans="2:9" x14ac:dyDescent="0.3">
      <c r="B105" s="320"/>
      <c r="C105" s="109" t="s">
        <v>728</v>
      </c>
    </row>
    <row r="106" spans="2:9" ht="30" x14ac:dyDescent="0.35">
      <c r="B106" s="320"/>
      <c r="C106" s="8" t="s">
        <v>481</v>
      </c>
      <c r="D106" s="8" t="s">
        <v>46</v>
      </c>
      <c r="E106" s="8" t="s">
        <v>590</v>
      </c>
      <c r="F106" s="8" t="s">
        <v>399</v>
      </c>
      <c r="H106" s="158" t="s">
        <v>1253</v>
      </c>
      <c r="I106" s="159" t="s">
        <v>527</v>
      </c>
    </row>
    <row r="107" spans="2:9" x14ac:dyDescent="0.3">
      <c r="B107" s="320"/>
      <c r="C107" s="123" t="str" cm="1">
        <f t="array" ref="C107">INDEX(C176:C181,BezugsjahrSpalte)</f>
        <v>Schulbus 2023</v>
      </c>
      <c r="D107" s="31" t="s">
        <v>482</v>
      </c>
      <c r="E107" s="31" cm="1">
        <f t="array" ref="E107">INDEX(D176:D181,BezugsjahrSpalte)</f>
        <v>31</v>
      </c>
      <c r="F107" s="31" t="str" cm="1">
        <f t="array" ref="F107">INDEX(H176:H181,BezugsjahrSpalte)</f>
        <v>eigene Berechnung</v>
      </c>
      <c r="G107" s="31"/>
      <c r="H107" s="188"/>
      <c r="I107" s="31">
        <f t="shared" ref="I107:I121" si="2">IF(H107="",E107,H107)</f>
        <v>31</v>
      </c>
    </row>
    <row r="108" spans="2:9" x14ac:dyDescent="0.3">
      <c r="B108" s="320"/>
      <c r="C108" s="123" t="str" cm="1">
        <f t="array" ref="C108">INDEX(C182:C187,BezugsjahrSpalte)</f>
        <v>Linienbus (Nahverkehr) 2023</v>
      </c>
      <c r="D108" s="31" t="s">
        <v>482</v>
      </c>
      <c r="E108" s="31" cm="1">
        <f t="array" ref="E108">INDEX(D182:D187,BezugsjahrSpalte)</f>
        <v>83</v>
      </c>
      <c r="F108" s="31" t="str" cm="1">
        <f t="array" ref="F108">INDEX(H182:H187,BezugsjahrSpalte)</f>
        <v>Platzhalter</v>
      </c>
      <c r="G108" s="31"/>
      <c r="H108" s="188"/>
      <c r="I108" s="31">
        <f t="shared" si="2"/>
        <v>83</v>
      </c>
    </row>
    <row r="109" spans="2:9" x14ac:dyDescent="0.3">
      <c r="B109" s="320"/>
      <c r="C109" s="123" t="str" cm="1">
        <f t="array" ref="C109">INDEX(C188:C193,BezugsjahrSpalte)</f>
        <v>andere ÖPNV (S-Bahn/Bahn,…) 2023</v>
      </c>
      <c r="D109" s="31" t="s">
        <v>482</v>
      </c>
      <c r="E109" s="31" cm="1">
        <f t="array" ref="E109">INDEX(D188:D193,BezugsjahrSpalte)</f>
        <v>55</v>
      </c>
      <c r="F109" s="31" t="str" cm="1">
        <f t="array" ref="F109">INDEX(H188:H193,BezugsjahrSpalte)</f>
        <v>Platzhalter</v>
      </c>
      <c r="G109" s="160"/>
      <c r="H109" s="188"/>
      <c r="I109" s="31">
        <f t="shared" si="2"/>
        <v>55</v>
      </c>
    </row>
    <row r="110" spans="2:9" x14ac:dyDescent="0.3">
      <c r="B110" s="320"/>
      <c r="C110" s="123" t="s">
        <v>79</v>
      </c>
      <c r="D110" s="31" t="s">
        <v>482</v>
      </c>
      <c r="E110" s="31">
        <v>4</v>
      </c>
      <c r="F110" s="31" t="s">
        <v>485</v>
      </c>
      <c r="G110" s="31"/>
      <c r="H110" s="188"/>
      <c r="I110" s="31">
        <f t="shared" si="2"/>
        <v>4</v>
      </c>
    </row>
    <row r="111" spans="2:9" x14ac:dyDescent="0.3">
      <c r="B111" s="320"/>
      <c r="C111" s="123" t="s">
        <v>77</v>
      </c>
      <c r="D111" s="31" t="s">
        <v>482</v>
      </c>
      <c r="E111" s="31">
        <v>60</v>
      </c>
      <c r="F111" s="31" t="s">
        <v>485</v>
      </c>
      <c r="G111" s="31"/>
      <c r="H111" s="188"/>
      <c r="I111" s="31">
        <f t="shared" si="2"/>
        <v>60</v>
      </c>
    </row>
    <row r="112" spans="2:9" x14ac:dyDescent="0.3">
      <c r="B112" s="320"/>
      <c r="C112" s="123" t="str" cm="1">
        <f t="array" ref="C112">INDEX(C194:C199,BezugsjahrSpalte)</f>
        <v>Auto (Kleinwagen) 2023</v>
      </c>
      <c r="D112" s="31" t="s">
        <v>482</v>
      </c>
      <c r="E112" s="31" cm="1">
        <f t="array" ref="E112">INDEX(D194:D199,BezugsjahrSpalte)</f>
        <v>136</v>
      </c>
      <c r="F112" s="31" t="str" cm="1">
        <f t="array" ref="F112">INDEX(H194:H199,BezugsjahrSpalte)</f>
        <v>Schätzwert</v>
      </c>
      <c r="G112" s="31"/>
      <c r="H112" s="188"/>
      <c r="I112" s="31">
        <f t="shared" si="2"/>
        <v>136</v>
      </c>
    </row>
    <row r="113" spans="2:9" x14ac:dyDescent="0.3">
      <c r="B113" s="320"/>
      <c r="C113" s="123" t="str" cm="1">
        <f t="array" ref="C113">INDEX(C200:C205,BezugsjahrSpalte)</f>
        <v>Auto (Mittelklasse) 2023</v>
      </c>
      <c r="D113" s="31" t="s">
        <v>482</v>
      </c>
      <c r="E113" s="31" cm="1">
        <f t="array" ref="E113">INDEX(D200:D205,BezugsjahrSpalte)</f>
        <v>170</v>
      </c>
      <c r="F113" s="31" t="str" cm="1">
        <f t="array" ref="F113">INDEX(H200:H205,BezugsjahrSpalte)</f>
        <v>Platzhalter</v>
      </c>
      <c r="G113" s="31"/>
      <c r="H113" s="188"/>
      <c r="I113" s="31">
        <f t="shared" si="2"/>
        <v>170</v>
      </c>
    </row>
    <row r="114" spans="2:9" x14ac:dyDescent="0.3">
      <c r="B114" s="320"/>
      <c r="C114" s="123" t="str" cm="1">
        <f t="array" ref="C114">INDEX(C206:C211,BezugsjahrSpalte)</f>
        <v>Auto (Oberklasse/SUV) 2023</v>
      </c>
      <c r="D114" s="31" t="s">
        <v>482</v>
      </c>
      <c r="E114" s="31" cm="1">
        <f t="array" ref="E114">INDEX(D206:D211,BezugsjahrSpalte)</f>
        <v>213</v>
      </c>
      <c r="F114" s="31" t="str" cm="1">
        <f t="array" ref="F114">INDEX(H206:H211,BezugsjahrSpalte)</f>
        <v>Schätzwert</v>
      </c>
      <c r="G114" s="31"/>
      <c r="H114" s="188"/>
      <c r="I114" s="31">
        <f t="shared" si="2"/>
        <v>213</v>
      </c>
    </row>
    <row r="115" spans="2:9" x14ac:dyDescent="0.3">
      <c r="B115" s="320"/>
      <c r="C115" s="123" t="str" cm="1">
        <f t="array" ref="C115">INDEX(C212:C217,BezugsjahrSpalte)</f>
        <v>Auto-Fahrgemeinschaft 2023</v>
      </c>
      <c r="D115" s="31" t="s">
        <v>482</v>
      </c>
      <c r="E115" s="31" cm="1">
        <f t="array" ref="E115">INDEX(D212:D217,BezugsjahrSpalte)</f>
        <v>95</v>
      </c>
      <c r="F115" s="31" t="str" cm="1">
        <f t="array" ref="F115">INDEX(H212:H217,BezugsjahrSpalte)</f>
        <v>eigene Berechnung</v>
      </c>
      <c r="G115" s="31"/>
      <c r="H115" s="188"/>
      <c r="I115" s="31">
        <f t="shared" si="2"/>
        <v>95</v>
      </c>
    </row>
    <row r="116" spans="2:9" ht="13.8" customHeight="1" x14ac:dyDescent="0.3">
      <c r="B116" s="320"/>
      <c r="C116" s="123" t="str" cm="1">
        <f t="array" ref="C116">INDEX(C218:C223,BezugsjahrSpalte)</f>
        <v>E-Auto (rein elektrisch) 2023</v>
      </c>
      <c r="D116" s="31" t="s">
        <v>482</v>
      </c>
      <c r="E116" s="31" cm="1">
        <f t="array" ref="E116">INDEX(D218:D223,BezugsjahrSpalte)</f>
        <v>79</v>
      </c>
      <c r="F116" s="31" t="str" cm="1">
        <f t="array" ref="F116">INDEX(H218:H223,BezugsjahrSpalte)</f>
        <v>Platzhalter</v>
      </c>
      <c r="G116" s="31"/>
      <c r="H116" s="188"/>
      <c r="I116" s="31">
        <f t="shared" ref="I116" si="3">IF(H116="",E116,H116)</f>
        <v>79</v>
      </c>
    </row>
    <row r="117" spans="2:9" x14ac:dyDescent="0.3">
      <c r="B117" s="320"/>
      <c r="C117" s="123" t="s">
        <v>483</v>
      </c>
      <c r="D117" s="31" t="s">
        <v>482</v>
      </c>
      <c r="E117" s="31">
        <v>26</v>
      </c>
      <c r="F117" s="31" t="s">
        <v>485</v>
      </c>
      <c r="G117" s="31"/>
      <c r="H117" s="188"/>
      <c r="I117" s="31">
        <f t="shared" si="2"/>
        <v>26</v>
      </c>
    </row>
    <row r="118" spans="2:9" x14ac:dyDescent="0.3">
      <c r="B118" s="320"/>
      <c r="C118" s="123" t="s">
        <v>517</v>
      </c>
      <c r="D118" s="31" t="s">
        <v>482</v>
      </c>
      <c r="E118" s="31">
        <f>26*25</f>
        <v>650</v>
      </c>
      <c r="F118" s="31" t="s">
        <v>485</v>
      </c>
      <c r="G118" s="31"/>
      <c r="H118" s="188"/>
      <c r="I118" s="31">
        <f t="shared" si="2"/>
        <v>650</v>
      </c>
    </row>
    <row r="119" spans="2:9" x14ac:dyDescent="0.3">
      <c r="B119" s="320"/>
      <c r="C119" s="123" t="str" cm="1">
        <f t="array" ref="C119">INDEX(C224:C229,BezugsjahrSpalte)</f>
        <v>Eisenbahn Fernverkehr 2023</v>
      </c>
      <c r="D119" s="31" t="s">
        <v>482</v>
      </c>
      <c r="E119" s="31" cm="1">
        <f t="array" ref="E119">INDEX(D224:D229,BezugsjahrSpalte)</f>
        <v>35</v>
      </c>
      <c r="F119" s="31" t="str" cm="1">
        <f t="array" ref="F119">INDEX(H224:H229,BezugsjahrSpalte)</f>
        <v>Platzhalter</v>
      </c>
      <c r="G119" s="31"/>
      <c r="H119" s="188"/>
      <c r="I119" s="31">
        <f t="shared" si="2"/>
        <v>35</v>
      </c>
    </row>
    <row r="120" spans="2:9" x14ac:dyDescent="0.3">
      <c r="B120" s="320"/>
      <c r="C120" s="123" t="str" cm="1">
        <f t="array" ref="C120">INDEX(C230:C235,BezugsjahrSpalte)</f>
        <v>Flugzeug Inland 2023</v>
      </c>
      <c r="D120" s="31" t="s">
        <v>482</v>
      </c>
      <c r="E120" s="31" cm="1">
        <f t="array" ref="E120">INDEX(D230:D235,BezugsjahrSpalte)</f>
        <v>238</v>
      </c>
      <c r="F120" s="31" t="str" cm="1">
        <f t="array" ref="F120">INDEX(H230:H235,BezugsjahrSpalte)</f>
        <v>Platzhalter</v>
      </c>
      <c r="G120" s="31"/>
      <c r="H120" s="188"/>
      <c r="I120" s="31">
        <f t="shared" si="2"/>
        <v>238</v>
      </c>
    </row>
    <row r="121" spans="2:9" x14ac:dyDescent="0.3">
      <c r="B121" s="320"/>
      <c r="C121" s="123" t="str" cm="1">
        <f t="array" ref="C121">INDEX(C236:C241,BezugsjahrSpalte)</f>
        <v>Flugzeug Ausland 2023</v>
      </c>
      <c r="D121" s="31" t="s">
        <v>482</v>
      </c>
      <c r="E121" s="31" cm="1">
        <f t="array" ref="E121">INDEX(D236:D241,BezugsjahrSpalte)</f>
        <v>355</v>
      </c>
      <c r="F121" s="31" t="str" cm="1">
        <f t="array" ref="F121">INDEX(H236:H241,BezugsjahrSpalte)</f>
        <v>Umweltbundesamt</v>
      </c>
      <c r="G121" s="160"/>
      <c r="H121" s="188"/>
      <c r="I121" s="31">
        <f t="shared" si="2"/>
        <v>355</v>
      </c>
    </row>
    <row r="122" spans="2:9" x14ac:dyDescent="0.3"/>
    <row r="123" spans="2:9" x14ac:dyDescent="0.3">
      <c r="B123" s="321"/>
      <c r="C123" s="109" t="s">
        <v>117</v>
      </c>
    </row>
    <row r="124" spans="2:9" x14ac:dyDescent="0.3">
      <c r="B124" s="321"/>
      <c r="C124" s="108" t="s">
        <v>489</v>
      </c>
    </row>
    <row r="125" spans="2:9" x14ac:dyDescent="0.3"/>
    <row r="126" spans="2:9" x14ac:dyDescent="0.3">
      <c r="B126" s="322"/>
      <c r="C126" s="109" t="s">
        <v>978</v>
      </c>
    </row>
    <row r="127" spans="2:9" ht="30" x14ac:dyDescent="0.35">
      <c r="B127" s="322"/>
      <c r="C127" s="8" t="s">
        <v>481</v>
      </c>
      <c r="D127" s="8" t="s">
        <v>46</v>
      </c>
      <c r="E127" s="8" t="s">
        <v>526</v>
      </c>
      <c r="F127" s="8" t="s">
        <v>399</v>
      </c>
      <c r="H127" s="158" t="s">
        <v>1253</v>
      </c>
      <c r="I127" s="159" t="s">
        <v>528</v>
      </c>
    </row>
    <row r="128" spans="2:9" x14ac:dyDescent="0.3">
      <c r="B128" s="322"/>
      <c r="C128" s="123" t="s">
        <v>362</v>
      </c>
      <c r="D128" s="31" t="s">
        <v>524</v>
      </c>
      <c r="E128" s="157">
        <v>1.06</v>
      </c>
      <c r="F128" s="31" t="s">
        <v>525</v>
      </c>
      <c r="G128" s="372" t="s">
        <v>365</v>
      </c>
      <c r="H128" s="188"/>
      <c r="I128" s="31">
        <f t="shared" ref="I128:I132" si="4">IF(H128="",E128,H128)</f>
        <v>1.06</v>
      </c>
    </row>
    <row r="129" spans="2:9" x14ac:dyDescent="0.3">
      <c r="B129" s="322"/>
      <c r="C129" s="123" t="s">
        <v>363</v>
      </c>
      <c r="D129" s="31" t="s">
        <v>524</v>
      </c>
      <c r="E129" s="157">
        <v>0.88600000000000001</v>
      </c>
      <c r="F129" s="31" t="s">
        <v>525</v>
      </c>
      <c r="G129" s="372" t="s">
        <v>365</v>
      </c>
      <c r="H129" s="188"/>
      <c r="I129" s="31">
        <f t="shared" si="4"/>
        <v>0.88600000000000001</v>
      </c>
    </row>
    <row r="130" spans="2:9" ht="16.2" x14ac:dyDescent="0.3">
      <c r="B130" s="322"/>
      <c r="C130" s="123" t="s">
        <v>979</v>
      </c>
      <c r="D130" s="31" t="s">
        <v>981</v>
      </c>
      <c r="E130" s="157">
        <v>5.64</v>
      </c>
      <c r="F130" s="31" t="s">
        <v>983</v>
      </c>
      <c r="G130" s="372" t="s">
        <v>982</v>
      </c>
      <c r="H130" s="188"/>
      <c r="I130" s="31">
        <f t="shared" si="4"/>
        <v>5.64</v>
      </c>
    </row>
    <row r="131" spans="2:9" ht="16.2" x14ac:dyDescent="0.3">
      <c r="B131" s="322"/>
      <c r="C131" s="123" t="s">
        <v>1044</v>
      </c>
      <c r="D131" s="31" t="s">
        <v>981</v>
      </c>
      <c r="E131" s="157">
        <v>35</v>
      </c>
      <c r="F131" s="31" t="s">
        <v>1045</v>
      </c>
      <c r="G131" s="372"/>
      <c r="H131" s="188"/>
      <c r="I131" s="31">
        <f t="shared" si="4"/>
        <v>35</v>
      </c>
    </row>
    <row r="132" spans="2:9" x14ac:dyDescent="0.3">
      <c r="B132" s="322"/>
      <c r="C132" s="123" t="s">
        <v>1060</v>
      </c>
      <c r="D132" s="31" t="s">
        <v>524</v>
      </c>
      <c r="E132" s="157">
        <v>2</v>
      </c>
      <c r="F132" s="31" t="s">
        <v>715</v>
      </c>
      <c r="G132" s="372"/>
      <c r="H132" s="188"/>
      <c r="I132" s="31">
        <f t="shared" si="4"/>
        <v>2</v>
      </c>
    </row>
    <row r="133" spans="2:9" x14ac:dyDescent="0.3">
      <c r="B133" s="322"/>
      <c r="C133" s="123" t="s">
        <v>1065</v>
      </c>
      <c r="D133" s="31" t="s">
        <v>1066</v>
      </c>
      <c r="E133" s="157">
        <v>50</v>
      </c>
      <c r="F133" s="31" t="s">
        <v>1312</v>
      </c>
      <c r="G133" s="372" t="s">
        <v>1067</v>
      </c>
      <c r="H133" s="188"/>
      <c r="I133" s="31">
        <f t="shared" ref="I133" si="5">IF(H133="",E133,H133)</f>
        <v>50</v>
      </c>
    </row>
    <row r="134" spans="2:9" x14ac:dyDescent="0.3">
      <c r="B134" s="322"/>
      <c r="C134" s="123" t="s">
        <v>1314</v>
      </c>
      <c r="D134" s="31" t="s">
        <v>1066</v>
      </c>
      <c r="E134" s="157">
        <v>50</v>
      </c>
      <c r="F134" s="31" t="s">
        <v>1313</v>
      </c>
      <c r="G134" s="372" t="s">
        <v>1067</v>
      </c>
      <c r="H134" s="188"/>
      <c r="I134" s="31">
        <f t="shared" ref="I134" si="6">IF(H134="",E134,H134)</f>
        <v>50</v>
      </c>
    </row>
    <row r="135" spans="2:9" x14ac:dyDescent="0.3">
      <c r="B135" s="322"/>
      <c r="C135" s="123" t="s">
        <v>1103</v>
      </c>
      <c r="D135" s="31" t="s">
        <v>1066</v>
      </c>
      <c r="E135" s="157">
        <v>251.7</v>
      </c>
      <c r="F135" s="31" t="s">
        <v>1107</v>
      </c>
      <c r="G135" s="372" t="s">
        <v>1106</v>
      </c>
      <c r="H135" s="188"/>
      <c r="I135" s="31">
        <f t="shared" ref="I135:I137" si="7">IF(H135="",E135,H135)</f>
        <v>251.7</v>
      </c>
    </row>
    <row r="136" spans="2:9" x14ac:dyDescent="0.3">
      <c r="B136" s="322"/>
      <c r="C136" s="123" t="s">
        <v>1104</v>
      </c>
      <c r="D136" s="31" t="s">
        <v>1066</v>
      </c>
      <c r="E136" s="157">
        <v>346.9</v>
      </c>
      <c r="F136" s="31" t="s">
        <v>1108</v>
      </c>
      <c r="G136" s="372" t="s">
        <v>1106</v>
      </c>
      <c r="H136" s="188"/>
      <c r="I136" s="31">
        <f t="shared" si="7"/>
        <v>346.9</v>
      </c>
    </row>
    <row r="137" spans="2:9" x14ac:dyDescent="0.3">
      <c r="B137" s="322"/>
      <c r="C137" s="123" t="s">
        <v>1105</v>
      </c>
      <c r="D137" s="31" t="s">
        <v>1066</v>
      </c>
      <c r="E137" s="157">
        <v>120</v>
      </c>
      <c r="F137" s="31" t="s">
        <v>1109</v>
      </c>
      <c r="G137" s="372" t="s">
        <v>1106</v>
      </c>
      <c r="H137" s="188"/>
      <c r="I137" s="31">
        <f t="shared" si="7"/>
        <v>120</v>
      </c>
    </row>
    <row r="138" spans="2:9" x14ac:dyDescent="0.3"/>
    <row r="139" spans="2:9" x14ac:dyDescent="0.3"/>
    <row r="140" spans="2:9" ht="18" thickBot="1" x14ac:dyDescent="0.4">
      <c r="C140" s="3" t="s">
        <v>598</v>
      </c>
      <c r="D140" s="3"/>
      <c r="E140" s="3"/>
    </row>
    <row r="141" spans="2:9" ht="38.4" customHeight="1" thickTop="1" x14ac:dyDescent="0.3">
      <c r="C141" s="561" t="s">
        <v>599</v>
      </c>
      <c r="D141" s="561"/>
      <c r="E141" s="561"/>
      <c r="F141" s="561"/>
      <c r="G141" s="561"/>
      <c r="H141" s="561"/>
      <c r="I141" s="561"/>
    </row>
    <row r="142" spans="2:9" x14ac:dyDescent="0.3"/>
    <row r="143" spans="2:9" x14ac:dyDescent="0.3">
      <c r="C143" s="8" t="s">
        <v>31</v>
      </c>
    </row>
    <row r="144" spans="2:9" x14ac:dyDescent="0.3"/>
    <row r="145" spans="3:9" x14ac:dyDescent="0.3"/>
    <row r="146" spans="3:9" ht="15" thickBot="1" x14ac:dyDescent="0.35">
      <c r="C146" t="s">
        <v>345</v>
      </c>
      <c r="D146" t="s">
        <v>46</v>
      </c>
    </row>
    <row r="147" spans="3:9" ht="15.6" thickTop="1" thickBot="1" x14ac:dyDescent="0.35">
      <c r="C147" s="186"/>
      <c r="D147" s="185" t="s">
        <v>600</v>
      </c>
      <c r="E147" s="250" t="s">
        <v>397</v>
      </c>
    </row>
    <row r="148" spans="3:9" ht="15" thickTop="1" x14ac:dyDescent="0.3"/>
    <row r="149" spans="3:9" x14ac:dyDescent="0.3"/>
    <row r="150" spans="3:9" x14ac:dyDescent="0.3"/>
    <row r="151" spans="3:9" ht="18" thickBot="1" x14ac:dyDescent="0.4">
      <c r="C151" s="3" t="s">
        <v>637</v>
      </c>
      <c r="D151" s="3"/>
      <c r="E151" s="3"/>
    </row>
    <row r="152" spans="3:9" ht="15" thickTop="1" x14ac:dyDescent="0.3">
      <c r="C152" s="686" t="s">
        <v>641</v>
      </c>
      <c r="D152" s="686"/>
      <c r="E152" s="686"/>
      <c r="F152" s="686"/>
      <c r="G152" s="686"/>
      <c r="H152" s="686"/>
      <c r="I152" s="686"/>
    </row>
    <row r="153" spans="3:9" ht="22.8" customHeight="1" x14ac:dyDescent="0.3">
      <c r="C153" s="686"/>
      <c r="D153" s="686"/>
      <c r="E153" s="686"/>
      <c r="F153" s="686"/>
      <c r="G153" s="686"/>
      <c r="H153" s="686"/>
      <c r="I153" s="686"/>
    </row>
    <row r="154" spans="3:9" ht="22.8" customHeight="1" x14ac:dyDescent="0.3">
      <c r="C154" s="686"/>
      <c r="D154" s="686"/>
      <c r="E154" s="686"/>
      <c r="F154" s="686"/>
      <c r="G154" s="686"/>
      <c r="H154" s="686"/>
      <c r="I154" s="686"/>
    </row>
    <row r="155" spans="3:9" x14ac:dyDescent="0.3"/>
    <row r="156" spans="3:9" x14ac:dyDescent="0.3">
      <c r="C156" s="8" t="s">
        <v>1280</v>
      </c>
    </row>
    <row r="157" spans="3:9" x14ac:dyDescent="0.3"/>
    <row r="158" spans="3:9" ht="15.6" x14ac:dyDescent="0.35">
      <c r="C158" s="8" t="s">
        <v>481</v>
      </c>
      <c r="D158" s="8" t="s">
        <v>46</v>
      </c>
      <c r="E158" s="8" t="s">
        <v>526</v>
      </c>
      <c r="F158" s="8" t="s">
        <v>651</v>
      </c>
      <c r="G158" s="8" t="s">
        <v>399</v>
      </c>
      <c r="H158" s="8" t="s">
        <v>73</v>
      </c>
    </row>
    <row r="159" spans="3:9" x14ac:dyDescent="0.3">
      <c r="C159" s="31" t="s">
        <v>646</v>
      </c>
      <c r="D159" s="31" t="s">
        <v>48</v>
      </c>
      <c r="E159" s="157">
        <v>0.53700000000000003</v>
      </c>
      <c r="F159" s="31" t="s">
        <v>653</v>
      </c>
      <c r="G159" s="31" t="s">
        <v>652</v>
      </c>
      <c r="H159" s="160" t="s">
        <v>73</v>
      </c>
    </row>
    <row r="160" spans="3:9" x14ac:dyDescent="0.3">
      <c r="C160" s="31" t="s">
        <v>647</v>
      </c>
      <c r="D160" s="31" t="s">
        <v>48</v>
      </c>
      <c r="E160" s="157">
        <v>0.47399999999999998</v>
      </c>
      <c r="F160" s="31" t="s">
        <v>653</v>
      </c>
      <c r="G160" s="31" t="s">
        <v>652</v>
      </c>
      <c r="H160" s="160" t="s">
        <v>73</v>
      </c>
    </row>
    <row r="161" spans="3:9" x14ac:dyDescent="0.3">
      <c r="C161" s="31" t="s">
        <v>648</v>
      </c>
      <c r="D161" s="31" t="s">
        <v>48</v>
      </c>
      <c r="E161" s="157">
        <v>0.432</v>
      </c>
      <c r="F161" s="31" t="s">
        <v>1498</v>
      </c>
      <c r="G161" s="31" t="s">
        <v>652</v>
      </c>
      <c r="H161" s="160" t="s">
        <v>73</v>
      </c>
    </row>
    <row r="162" spans="3:9" x14ac:dyDescent="0.3">
      <c r="C162" s="31" t="s">
        <v>649</v>
      </c>
      <c r="D162" s="31" t="s">
        <v>48</v>
      </c>
      <c r="E162" s="157">
        <v>0.47499999999999998</v>
      </c>
      <c r="F162" s="31" t="s">
        <v>1498</v>
      </c>
      <c r="G162" s="31" t="s">
        <v>652</v>
      </c>
      <c r="H162" s="160" t="s">
        <v>73</v>
      </c>
    </row>
    <row r="163" spans="3:9" x14ac:dyDescent="0.3">
      <c r="C163" s="31" t="s">
        <v>650</v>
      </c>
      <c r="D163" s="31" t="s">
        <v>48</v>
      </c>
      <c r="E163" s="157">
        <v>0.498</v>
      </c>
      <c r="F163" s="31" t="s">
        <v>1499</v>
      </c>
      <c r="G163" s="31" t="s">
        <v>652</v>
      </c>
      <c r="H163" s="160" t="s">
        <v>73</v>
      </c>
    </row>
    <row r="164" spans="3:9" x14ac:dyDescent="0.3">
      <c r="C164" s="31" t="s">
        <v>1500</v>
      </c>
      <c r="D164" s="31" t="s">
        <v>48</v>
      </c>
      <c r="E164" s="303">
        <v>0.5</v>
      </c>
      <c r="F164" s="31" t="s">
        <v>715</v>
      </c>
      <c r="G164" s="31" t="s">
        <v>715</v>
      </c>
      <c r="H164" s="160"/>
    </row>
    <row r="165" spans="3:9" hidden="1" x14ac:dyDescent="0.3">
      <c r="D165" t="s">
        <v>638</v>
      </c>
    </row>
    <row r="166" spans="3:9" hidden="1" x14ac:dyDescent="0.3">
      <c r="C166">
        <v>2018</v>
      </c>
      <c r="D166">
        <v>538</v>
      </c>
    </row>
    <row r="167" spans="3:9" hidden="1" x14ac:dyDescent="0.3">
      <c r="C167">
        <v>2019</v>
      </c>
      <c r="D167">
        <v>474</v>
      </c>
    </row>
    <row r="168" spans="3:9" hidden="1" x14ac:dyDescent="0.3">
      <c r="C168">
        <v>2020</v>
      </c>
      <c r="D168">
        <v>438</v>
      </c>
      <c r="E168" t="s">
        <v>640</v>
      </c>
    </row>
    <row r="169" spans="3:9" hidden="1" x14ac:dyDescent="0.3">
      <c r="C169">
        <v>2021</v>
      </c>
      <c r="D169">
        <v>485</v>
      </c>
      <c r="E169" t="s">
        <v>639</v>
      </c>
    </row>
    <row r="170" spans="3:9" hidden="1" x14ac:dyDescent="0.3">
      <c r="C170">
        <v>2022</v>
      </c>
      <c r="D170" s="188">
        <v>485</v>
      </c>
    </row>
    <row r="172" spans="3:9" x14ac:dyDescent="0.3"/>
    <row r="173" spans="3:9" x14ac:dyDescent="0.3">
      <c r="C173" s="8" t="s">
        <v>1279</v>
      </c>
    </row>
    <row r="174" spans="3:9" x14ac:dyDescent="0.3"/>
    <row r="175" spans="3:9" ht="30" x14ac:dyDescent="0.35">
      <c r="C175" s="8" t="s">
        <v>481</v>
      </c>
      <c r="D175" s="159" t="s">
        <v>657</v>
      </c>
      <c r="E175" s="8" t="s">
        <v>555</v>
      </c>
      <c r="G175" s="8" t="s">
        <v>651</v>
      </c>
      <c r="H175" s="8" t="s">
        <v>399</v>
      </c>
      <c r="I175" s="8" t="s">
        <v>73</v>
      </c>
    </row>
    <row r="176" spans="3:9" x14ac:dyDescent="0.3">
      <c r="C176" s="123" t="s">
        <v>655</v>
      </c>
      <c r="D176" s="31">
        <f>D177</f>
        <v>31</v>
      </c>
      <c r="E176" s="123" t="s">
        <v>1521</v>
      </c>
      <c r="F176" s="183"/>
      <c r="G176" s="31" t="s">
        <v>485</v>
      </c>
      <c r="H176" s="31" t="s">
        <v>485</v>
      </c>
      <c r="I176" s="160"/>
    </row>
    <row r="177" spans="3:9" x14ac:dyDescent="0.3">
      <c r="C177" s="123" t="s">
        <v>658</v>
      </c>
      <c r="D177" s="31">
        <f>ROUND(D183*18%/48%,0)</f>
        <v>31</v>
      </c>
      <c r="E177" s="614" t="s">
        <v>1522</v>
      </c>
      <c r="F177" s="616"/>
      <c r="G177" s="31" t="s">
        <v>485</v>
      </c>
      <c r="H177" s="31" t="s">
        <v>485</v>
      </c>
      <c r="I177" s="160"/>
    </row>
    <row r="178" spans="3:9" x14ac:dyDescent="0.3">
      <c r="C178" s="123" t="s">
        <v>659</v>
      </c>
      <c r="D178" s="31">
        <f>ROUND(D184*13%/48%,0)</f>
        <v>30</v>
      </c>
      <c r="E178" s="614" t="s">
        <v>1523</v>
      </c>
      <c r="F178" s="616"/>
      <c r="G178" s="31" t="s">
        <v>485</v>
      </c>
      <c r="H178" s="31" t="s">
        <v>485</v>
      </c>
      <c r="I178" s="160"/>
    </row>
    <row r="179" spans="3:9" x14ac:dyDescent="0.3">
      <c r="C179" s="123" t="s">
        <v>660</v>
      </c>
      <c r="D179" s="31">
        <f>ROUND(D185*14%/48%,0)</f>
        <v>32</v>
      </c>
      <c r="E179" s="614"/>
      <c r="F179" s="616"/>
      <c r="G179" s="31" t="s">
        <v>485</v>
      </c>
      <c r="H179" s="31" t="s">
        <v>485</v>
      </c>
      <c r="I179" s="160"/>
    </row>
    <row r="180" spans="3:9" x14ac:dyDescent="0.3">
      <c r="C180" s="305" t="s">
        <v>661</v>
      </c>
      <c r="D180" s="31">
        <f>ROUND(D186*16%/48%,0)</f>
        <v>31</v>
      </c>
      <c r="E180" s="614"/>
      <c r="F180" s="616"/>
      <c r="G180" s="31" t="s">
        <v>485</v>
      </c>
      <c r="H180" s="31" t="s">
        <v>485</v>
      </c>
      <c r="I180" s="307"/>
    </row>
    <row r="181" spans="3:9" ht="15" thickBot="1" x14ac:dyDescent="0.35">
      <c r="C181" s="305" t="s">
        <v>1501</v>
      </c>
      <c r="D181" s="31">
        <f>D180</f>
        <v>31</v>
      </c>
      <c r="E181" s="614"/>
      <c r="F181" s="616"/>
      <c r="G181" s="31" t="s">
        <v>485</v>
      </c>
      <c r="H181" s="31" t="s">
        <v>485</v>
      </c>
      <c r="I181" s="307"/>
    </row>
    <row r="182" spans="3:9" x14ac:dyDescent="0.3">
      <c r="C182" s="308" t="s">
        <v>662</v>
      </c>
      <c r="D182" s="309">
        <v>83</v>
      </c>
      <c r="E182" s="684" t="s">
        <v>720</v>
      </c>
      <c r="F182" s="685"/>
      <c r="G182" s="309" t="s">
        <v>715</v>
      </c>
      <c r="H182" s="309" t="s">
        <v>715</v>
      </c>
      <c r="I182" s="310"/>
    </row>
    <row r="183" spans="3:9" x14ac:dyDescent="0.3">
      <c r="C183" s="123" t="s">
        <v>663</v>
      </c>
      <c r="D183" s="31">
        <v>83</v>
      </c>
      <c r="E183" s="614" t="s">
        <v>718</v>
      </c>
      <c r="F183" s="616"/>
      <c r="G183" s="31" t="s">
        <v>656</v>
      </c>
      <c r="H183" s="31" t="s">
        <v>652</v>
      </c>
      <c r="I183" s="160" t="s">
        <v>73</v>
      </c>
    </row>
    <row r="184" spans="3:9" x14ac:dyDescent="0.3">
      <c r="C184" s="123" t="s">
        <v>664</v>
      </c>
      <c r="D184" s="31">
        <v>111</v>
      </c>
      <c r="E184" s="614" t="s">
        <v>719</v>
      </c>
      <c r="F184" s="616"/>
      <c r="G184" s="31" t="s">
        <v>656</v>
      </c>
      <c r="H184" s="31" t="s">
        <v>652</v>
      </c>
      <c r="I184" s="160" t="s">
        <v>73</v>
      </c>
    </row>
    <row r="185" spans="3:9" x14ac:dyDescent="0.3">
      <c r="C185" s="123" t="s">
        <v>665</v>
      </c>
      <c r="D185" s="31">
        <v>108</v>
      </c>
      <c r="E185" s="614" t="s">
        <v>1519</v>
      </c>
      <c r="F185" s="616"/>
      <c r="G185" s="31" t="s">
        <v>656</v>
      </c>
      <c r="H185" s="31" t="s">
        <v>652</v>
      </c>
      <c r="I185" s="160" t="s">
        <v>73</v>
      </c>
    </row>
    <row r="186" spans="3:9" x14ac:dyDescent="0.3">
      <c r="C186" s="123" t="s">
        <v>666</v>
      </c>
      <c r="D186" s="31">
        <v>93</v>
      </c>
      <c r="E186" s="614" t="s">
        <v>1514</v>
      </c>
      <c r="F186" s="616"/>
      <c r="G186" s="31" t="s">
        <v>656</v>
      </c>
      <c r="H186" s="31" t="s">
        <v>652</v>
      </c>
      <c r="I186" s="160" t="s">
        <v>73</v>
      </c>
    </row>
    <row r="187" spans="3:9" ht="15" thickBot="1" x14ac:dyDescent="0.35">
      <c r="C187" s="123" t="s">
        <v>1502</v>
      </c>
      <c r="D187" s="311">
        <f>D182</f>
        <v>83</v>
      </c>
      <c r="E187" s="614" t="s">
        <v>1520</v>
      </c>
      <c r="F187" s="616"/>
      <c r="G187" s="31" t="s">
        <v>654</v>
      </c>
      <c r="H187" s="31" t="s">
        <v>654</v>
      </c>
      <c r="I187" s="160"/>
    </row>
    <row r="188" spans="3:9" x14ac:dyDescent="0.3">
      <c r="C188" s="308" t="s">
        <v>667</v>
      </c>
      <c r="D188" s="309">
        <v>55</v>
      </c>
      <c r="E188" s="684" t="s">
        <v>720</v>
      </c>
      <c r="F188" s="685"/>
      <c r="G188" s="309" t="s">
        <v>715</v>
      </c>
      <c r="H188" s="309" t="s">
        <v>715</v>
      </c>
      <c r="I188" s="310"/>
    </row>
    <row r="189" spans="3:9" x14ac:dyDescent="0.3">
      <c r="C189" s="123" t="s">
        <v>668</v>
      </c>
      <c r="D189" s="31">
        <v>55</v>
      </c>
      <c r="E189" s="614" t="s">
        <v>721</v>
      </c>
      <c r="F189" s="616"/>
      <c r="G189" s="31" t="s">
        <v>656</v>
      </c>
      <c r="H189" s="31" t="s">
        <v>652</v>
      </c>
      <c r="I189" s="160" t="s">
        <v>73</v>
      </c>
    </row>
    <row r="190" spans="3:9" x14ac:dyDescent="0.3">
      <c r="C190" s="123" t="s">
        <v>669</v>
      </c>
      <c r="D190" s="31">
        <v>75</v>
      </c>
      <c r="E190" s="614" t="s">
        <v>719</v>
      </c>
      <c r="F190" s="616"/>
      <c r="G190" s="31" t="s">
        <v>656</v>
      </c>
      <c r="H190" s="31" t="s">
        <v>652</v>
      </c>
      <c r="I190" s="160" t="s">
        <v>73</v>
      </c>
    </row>
    <row r="191" spans="3:9" x14ac:dyDescent="0.3">
      <c r="C191" s="123" t="s">
        <v>670</v>
      </c>
      <c r="D191" s="31">
        <v>80</v>
      </c>
      <c r="E191" s="614" t="s">
        <v>1518</v>
      </c>
      <c r="F191" s="616"/>
      <c r="G191" s="31" t="s">
        <v>656</v>
      </c>
      <c r="H191" s="31" t="s">
        <v>652</v>
      </c>
      <c r="I191" s="160" t="s">
        <v>73</v>
      </c>
    </row>
    <row r="192" spans="3:9" x14ac:dyDescent="0.3">
      <c r="C192" s="305" t="s">
        <v>671</v>
      </c>
      <c r="D192" s="31">
        <v>63</v>
      </c>
      <c r="E192" s="614" t="s">
        <v>1515</v>
      </c>
      <c r="F192" s="616"/>
      <c r="G192" s="31" t="s">
        <v>656</v>
      </c>
      <c r="H192" s="31" t="s">
        <v>652</v>
      </c>
      <c r="I192" s="160" t="s">
        <v>73</v>
      </c>
    </row>
    <row r="193" spans="3:9" ht="15" thickBot="1" x14ac:dyDescent="0.35">
      <c r="C193" s="305" t="s">
        <v>1503</v>
      </c>
      <c r="D193" s="311">
        <v>55</v>
      </c>
      <c r="E193" s="614" t="s">
        <v>1520</v>
      </c>
      <c r="F193" s="616"/>
      <c r="G193" s="31" t="s">
        <v>654</v>
      </c>
      <c r="H193" s="31" t="s">
        <v>654</v>
      </c>
      <c r="I193" s="160"/>
    </row>
    <row r="194" spans="3:9" x14ac:dyDescent="0.3">
      <c r="C194" s="308" t="s">
        <v>672</v>
      </c>
      <c r="D194" s="309">
        <f t="shared" ref="D194" si="8">ROUND(D200*80%,0)</f>
        <v>123</v>
      </c>
      <c r="E194" s="684" t="s">
        <v>713</v>
      </c>
      <c r="F194" s="685"/>
      <c r="G194" s="309" t="s">
        <v>715</v>
      </c>
      <c r="H194" s="309" t="s">
        <v>715</v>
      </c>
      <c r="I194" s="310"/>
    </row>
    <row r="195" spans="3:9" x14ac:dyDescent="0.3">
      <c r="C195" s="123" t="s">
        <v>673</v>
      </c>
      <c r="D195" s="31">
        <f>ROUND(D201*80%,0)</f>
        <v>123</v>
      </c>
      <c r="E195" s="614" t="s">
        <v>713</v>
      </c>
      <c r="F195" s="616"/>
      <c r="G195" s="31" t="s">
        <v>715</v>
      </c>
      <c r="H195" s="31" t="s">
        <v>715</v>
      </c>
      <c r="I195" s="160"/>
    </row>
    <row r="196" spans="3:9" x14ac:dyDescent="0.3">
      <c r="C196" s="123" t="s">
        <v>674</v>
      </c>
      <c r="D196" s="31">
        <f>ROUND(D202*80%,0)</f>
        <v>122</v>
      </c>
      <c r="E196" s="614" t="s">
        <v>713</v>
      </c>
      <c r="F196" s="616"/>
      <c r="G196" s="31" t="s">
        <v>715</v>
      </c>
      <c r="H196" s="31" t="s">
        <v>715</v>
      </c>
      <c r="I196" s="160"/>
    </row>
    <row r="197" spans="3:9" x14ac:dyDescent="0.3">
      <c r="C197" s="123" t="s">
        <v>675</v>
      </c>
      <c r="D197" s="31">
        <f>ROUND(D203*80%,0)</f>
        <v>130</v>
      </c>
      <c r="E197" s="614" t="s">
        <v>713</v>
      </c>
      <c r="F197" s="616"/>
      <c r="G197" s="31" t="s">
        <v>715</v>
      </c>
      <c r="H197" s="31" t="s">
        <v>715</v>
      </c>
      <c r="I197" s="160"/>
    </row>
    <row r="198" spans="3:9" ht="15" thickBot="1" x14ac:dyDescent="0.35">
      <c r="C198" s="305" t="s">
        <v>676</v>
      </c>
      <c r="D198" s="306">
        <f t="shared" ref="D198:D199" si="9">ROUND(D204*80%,0)</f>
        <v>133</v>
      </c>
      <c r="E198" s="689" t="s">
        <v>713</v>
      </c>
      <c r="F198" s="690"/>
      <c r="G198" s="31" t="s">
        <v>715</v>
      </c>
      <c r="H198" s="31" t="s">
        <v>715</v>
      </c>
      <c r="I198" s="307"/>
    </row>
    <row r="199" spans="3:9" ht="15" thickBot="1" x14ac:dyDescent="0.35">
      <c r="C199" s="305" t="s">
        <v>1504</v>
      </c>
      <c r="D199" s="306">
        <f t="shared" si="9"/>
        <v>136</v>
      </c>
      <c r="E199" s="689" t="s">
        <v>713</v>
      </c>
      <c r="F199" s="690"/>
      <c r="G199" s="31" t="s">
        <v>715</v>
      </c>
      <c r="H199" s="31" t="s">
        <v>715</v>
      </c>
      <c r="I199" s="307"/>
    </row>
    <row r="200" spans="3:9" x14ac:dyDescent="0.3">
      <c r="C200" s="308" t="s">
        <v>677</v>
      </c>
      <c r="D200" s="309">
        <v>154</v>
      </c>
      <c r="E200" s="684" t="s">
        <v>1533</v>
      </c>
      <c r="F200" s="685"/>
      <c r="G200" s="309" t="s">
        <v>715</v>
      </c>
      <c r="H200" s="309" t="s">
        <v>715</v>
      </c>
      <c r="I200" s="310"/>
    </row>
    <row r="201" spans="3:9" x14ac:dyDescent="0.3">
      <c r="C201" s="123" t="s">
        <v>678</v>
      </c>
      <c r="D201" s="31">
        <v>154</v>
      </c>
      <c r="E201" s="614" t="s">
        <v>712</v>
      </c>
      <c r="F201" s="616"/>
      <c r="G201" s="31" t="s">
        <v>656</v>
      </c>
      <c r="H201" s="31" t="s">
        <v>652</v>
      </c>
      <c r="I201" s="160" t="s">
        <v>73</v>
      </c>
    </row>
    <row r="202" spans="3:9" x14ac:dyDescent="0.3">
      <c r="C202" s="123" t="s">
        <v>679</v>
      </c>
      <c r="D202" s="31">
        <v>152</v>
      </c>
      <c r="E202" s="614" t="s">
        <v>712</v>
      </c>
      <c r="F202" s="616"/>
      <c r="G202" s="31" t="s">
        <v>656</v>
      </c>
      <c r="H202" s="31" t="s">
        <v>652</v>
      </c>
      <c r="I202" s="160" t="s">
        <v>73</v>
      </c>
    </row>
    <row r="203" spans="3:9" x14ac:dyDescent="0.3">
      <c r="C203" s="123" t="s">
        <v>680</v>
      </c>
      <c r="D203" s="31">
        <v>162</v>
      </c>
      <c r="E203" s="614" t="s">
        <v>712</v>
      </c>
      <c r="F203" s="616"/>
      <c r="G203" s="31" t="s">
        <v>656</v>
      </c>
      <c r="H203" s="31" t="s">
        <v>652</v>
      </c>
      <c r="I203" s="160" t="s">
        <v>73</v>
      </c>
    </row>
    <row r="204" spans="3:9" x14ac:dyDescent="0.3">
      <c r="C204" s="123" t="s">
        <v>681</v>
      </c>
      <c r="D204" s="31">
        <v>166</v>
      </c>
      <c r="E204" s="614" t="s">
        <v>712</v>
      </c>
      <c r="F204" s="616"/>
      <c r="G204" s="31" t="s">
        <v>656</v>
      </c>
      <c r="H204" s="31" t="s">
        <v>652</v>
      </c>
      <c r="I204" s="160" t="s">
        <v>73</v>
      </c>
    </row>
    <row r="205" spans="3:9" ht="15" thickBot="1" x14ac:dyDescent="0.35">
      <c r="C205" s="123" t="s">
        <v>1505</v>
      </c>
      <c r="D205" s="311">
        <v>170</v>
      </c>
      <c r="E205" s="614" t="s">
        <v>715</v>
      </c>
      <c r="F205" s="616"/>
      <c r="G205" s="31" t="s">
        <v>654</v>
      </c>
      <c r="H205" s="31" t="s">
        <v>654</v>
      </c>
      <c r="I205" s="160"/>
    </row>
    <row r="206" spans="3:9" x14ac:dyDescent="0.3">
      <c r="C206" s="308" t="s">
        <v>682</v>
      </c>
      <c r="D206" s="309">
        <f>ROUND(D200*125%,0)</f>
        <v>193</v>
      </c>
      <c r="E206" s="684" t="s">
        <v>714</v>
      </c>
      <c r="F206" s="685"/>
      <c r="G206" s="309" t="s">
        <v>715</v>
      </c>
      <c r="H206" s="309" t="s">
        <v>715</v>
      </c>
      <c r="I206" s="310"/>
    </row>
    <row r="207" spans="3:9" x14ac:dyDescent="0.3">
      <c r="C207" s="123" t="s">
        <v>683</v>
      </c>
      <c r="D207" s="31">
        <f>ROUND(D201*125%,0)</f>
        <v>193</v>
      </c>
      <c r="E207" s="614" t="s">
        <v>714</v>
      </c>
      <c r="F207" s="616"/>
      <c r="G207" s="31" t="s">
        <v>715</v>
      </c>
      <c r="H207" s="31" t="s">
        <v>715</v>
      </c>
      <c r="I207" s="160"/>
    </row>
    <row r="208" spans="3:9" x14ac:dyDescent="0.3">
      <c r="C208" s="123" t="s">
        <v>684</v>
      </c>
      <c r="D208" s="31">
        <f>ROUND(D202*125%,0)</f>
        <v>190</v>
      </c>
      <c r="E208" s="614" t="s">
        <v>714</v>
      </c>
      <c r="F208" s="616"/>
      <c r="G208" s="31" t="s">
        <v>715</v>
      </c>
      <c r="H208" s="31" t="s">
        <v>715</v>
      </c>
      <c r="I208" s="160"/>
    </row>
    <row r="209" spans="3:9" x14ac:dyDescent="0.3">
      <c r="C209" s="123" t="s">
        <v>685</v>
      </c>
      <c r="D209" s="31">
        <f>ROUND(D203*125%,0)</f>
        <v>203</v>
      </c>
      <c r="E209" s="614" t="s">
        <v>714</v>
      </c>
      <c r="F209" s="616"/>
      <c r="G209" s="31" t="s">
        <v>715</v>
      </c>
      <c r="H209" s="31" t="s">
        <v>715</v>
      </c>
      <c r="I209" s="160"/>
    </row>
    <row r="210" spans="3:9" x14ac:dyDescent="0.3">
      <c r="C210" s="305" t="s">
        <v>686</v>
      </c>
      <c r="D210" s="305">
        <f t="shared" ref="D210:D211" si="10">ROUND(D204*125%,0)</f>
        <v>208</v>
      </c>
      <c r="E210" s="614" t="s">
        <v>714</v>
      </c>
      <c r="F210" s="616"/>
      <c r="G210" s="31" t="s">
        <v>715</v>
      </c>
      <c r="H210" s="31" t="s">
        <v>715</v>
      </c>
      <c r="I210" s="160"/>
    </row>
    <row r="211" spans="3:9" ht="15" thickBot="1" x14ac:dyDescent="0.35">
      <c r="C211" s="305" t="s">
        <v>1506</v>
      </c>
      <c r="D211" s="306">
        <f t="shared" si="10"/>
        <v>213</v>
      </c>
      <c r="E211" s="689" t="s">
        <v>714</v>
      </c>
      <c r="F211" s="690"/>
      <c r="G211" s="31" t="s">
        <v>715</v>
      </c>
      <c r="H211" s="31" t="s">
        <v>715</v>
      </c>
      <c r="I211" s="160"/>
    </row>
    <row r="212" spans="3:9" x14ac:dyDescent="0.3">
      <c r="C212" s="308" t="s">
        <v>687</v>
      </c>
      <c r="D212" s="309">
        <f>ROUND(D200*1.4/2.5,0)</f>
        <v>86</v>
      </c>
      <c r="E212" s="123" t="s">
        <v>716</v>
      </c>
      <c r="F212" s="183"/>
      <c r="G212" s="309" t="s">
        <v>485</v>
      </c>
      <c r="H212" s="309" t="s">
        <v>485</v>
      </c>
      <c r="I212" s="310"/>
    </row>
    <row r="213" spans="3:9" x14ac:dyDescent="0.3">
      <c r="C213" s="123" t="s">
        <v>688</v>
      </c>
      <c r="D213" s="31">
        <f>ROUND(D201*1.4/2.5,0)</f>
        <v>86</v>
      </c>
      <c r="E213" s="123" t="s">
        <v>716</v>
      </c>
      <c r="F213" s="183"/>
      <c r="G213" s="31" t="s">
        <v>485</v>
      </c>
      <c r="H213" s="31" t="s">
        <v>485</v>
      </c>
      <c r="I213" s="160" t="s">
        <v>73</v>
      </c>
    </row>
    <row r="214" spans="3:9" x14ac:dyDescent="0.3">
      <c r="C214" s="123" t="s">
        <v>689</v>
      </c>
      <c r="D214" s="31">
        <f>ROUND(D202*1.4/2.5,0)</f>
        <v>85</v>
      </c>
      <c r="E214" s="123" t="s">
        <v>716</v>
      </c>
      <c r="F214" s="183"/>
      <c r="G214" s="31" t="s">
        <v>485</v>
      </c>
      <c r="H214" s="31" t="s">
        <v>485</v>
      </c>
      <c r="I214" s="160" t="s">
        <v>73</v>
      </c>
    </row>
    <row r="215" spans="3:9" x14ac:dyDescent="0.3">
      <c r="C215" s="123" t="s">
        <v>690</v>
      </c>
      <c r="D215" s="31">
        <f>ROUND(D203*1.4/2.5,0)</f>
        <v>91</v>
      </c>
      <c r="E215" s="123" t="s">
        <v>716</v>
      </c>
      <c r="F215" s="183"/>
      <c r="G215" s="31" t="s">
        <v>485</v>
      </c>
      <c r="H215" s="31" t="s">
        <v>485</v>
      </c>
      <c r="I215" s="160"/>
    </row>
    <row r="216" spans="3:9" x14ac:dyDescent="0.3">
      <c r="C216" s="123" t="s">
        <v>691</v>
      </c>
      <c r="D216" s="31">
        <f>ROUND(D204*1.4/2.5,0)</f>
        <v>93</v>
      </c>
      <c r="E216" s="123" t="s">
        <v>716</v>
      </c>
      <c r="F216" s="183"/>
      <c r="G216" s="31" t="s">
        <v>485</v>
      </c>
      <c r="H216" s="31" t="s">
        <v>485</v>
      </c>
      <c r="I216" s="160"/>
    </row>
    <row r="217" spans="3:9" ht="15" thickBot="1" x14ac:dyDescent="0.35">
      <c r="C217" s="123" t="s">
        <v>1507</v>
      </c>
      <c r="D217" s="31">
        <f t="shared" ref="D217" si="11">ROUND(D205*1.4/2.5,0)</f>
        <v>95</v>
      </c>
      <c r="E217" s="123" t="s">
        <v>716</v>
      </c>
      <c r="F217" s="183"/>
      <c r="G217" s="31" t="s">
        <v>485</v>
      </c>
      <c r="H217" s="31" t="s">
        <v>485</v>
      </c>
      <c r="I217" s="160"/>
    </row>
    <row r="218" spans="3:9" x14ac:dyDescent="0.3">
      <c r="C218" s="308" t="s">
        <v>692</v>
      </c>
      <c r="D218" s="309">
        <f t="shared" ref="D218" si="12">ROUND(20/100*E159*1000,0)</f>
        <v>107</v>
      </c>
      <c r="E218" s="684" t="s">
        <v>717</v>
      </c>
      <c r="F218" s="685"/>
      <c r="G218" s="309" t="s">
        <v>485</v>
      </c>
      <c r="H218" s="309" t="s">
        <v>485</v>
      </c>
      <c r="I218" s="310"/>
    </row>
    <row r="219" spans="3:9" x14ac:dyDescent="0.3">
      <c r="C219" s="123" t="s">
        <v>693</v>
      </c>
      <c r="D219" s="31">
        <f>ROUND(20/100*E160*1000,0)</f>
        <v>95</v>
      </c>
      <c r="E219" s="614" t="s">
        <v>717</v>
      </c>
      <c r="F219" s="616"/>
      <c r="G219" s="31" t="s">
        <v>485</v>
      </c>
      <c r="H219" s="31" t="s">
        <v>485</v>
      </c>
      <c r="I219" s="160"/>
    </row>
    <row r="220" spans="3:9" x14ac:dyDescent="0.3">
      <c r="C220" s="123" t="s">
        <v>694</v>
      </c>
      <c r="D220" s="31">
        <f t="shared" ref="D220:D221" si="13">ROUND(20/100*E161*1000,0)</f>
        <v>86</v>
      </c>
      <c r="E220" s="614" t="s">
        <v>717</v>
      </c>
      <c r="F220" s="616"/>
      <c r="G220" s="31" t="s">
        <v>485</v>
      </c>
      <c r="H220" s="31" t="s">
        <v>485</v>
      </c>
      <c r="I220" s="160"/>
    </row>
    <row r="221" spans="3:9" x14ac:dyDescent="0.3">
      <c r="C221" s="123" t="s">
        <v>695</v>
      </c>
      <c r="D221" s="31">
        <f t="shared" si="13"/>
        <v>95</v>
      </c>
      <c r="E221" s="614" t="s">
        <v>717</v>
      </c>
      <c r="F221" s="616"/>
      <c r="G221" s="31" t="s">
        <v>485</v>
      </c>
      <c r="H221" s="31" t="s">
        <v>485</v>
      </c>
      <c r="I221" s="160"/>
    </row>
    <row r="222" spans="3:9" x14ac:dyDescent="0.3">
      <c r="C222" s="305" t="s">
        <v>696</v>
      </c>
      <c r="D222" s="306">
        <v>79</v>
      </c>
      <c r="E222" s="614" t="s">
        <v>1516</v>
      </c>
      <c r="F222" s="616"/>
      <c r="G222" s="31" t="s">
        <v>656</v>
      </c>
      <c r="H222" s="31" t="s">
        <v>652</v>
      </c>
      <c r="I222" s="160" t="s">
        <v>73</v>
      </c>
    </row>
    <row r="223" spans="3:9" ht="15" thickBot="1" x14ac:dyDescent="0.35">
      <c r="C223" s="305" t="s">
        <v>1508</v>
      </c>
      <c r="D223" s="311">
        <f>D222</f>
        <v>79</v>
      </c>
      <c r="E223" s="687" t="s">
        <v>715</v>
      </c>
      <c r="F223" s="688"/>
      <c r="G223" s="31" t="s">
        <v>654</v>
      </c>
      <c r="H223" s="31" t="s">
        <v>654</v>
      </c>
      <c r="I223" s="307"/>
    </row>
    <row r="224" spans="3:9" x14ac:dyDescent="0.3">
      <c r="C224" s="308" t="s">
        <v>697</v>
      </c>
      <c r="D224" s="309">
        <v>55</v>
      </c>
      <c r="E224" s="684" t="s">
        <v>720</v>
      </c>
      <c r="F224" s="685"/>
      <c r="G224" s="309" t="s">
        <v>715</v>
      </c>
      <c r="H224" s="309" t="s">
        <v>715</v>
      </c>
      <c r="I224" s="310"/>
    </row>
    <row r="225" spans="3:9" x14ac:dyDescent="0.3">
      <c r="C225" s="123" t="s">
        <v>698</v>
      </c>
      <c r="D225" s="31">
        <v>29</v>
      </c>
      <c r="E225" s="614" t="s">
        <v>725</v>
      </c>
      <c r="F225" s="616"/>
      <c r="G225" s="31" t="s">
        <v>656</v>
      </c>
      <c r="H225" s="31" t="s">
        <v>652</v>
      </c>
      <c r="I225" s="160" t="s">
        <v>73</v>
      </c>
    </row>
    <row r="226" spans="3:9" x14ac:dyDescent="0.3">
      <c r="C226" s="123" t="s">
        <v>699</v>
      </c>
      <c r="D226" s="31">
        <v>50</v>
      </c>
      <c r="E226" s="614" t="s">
        <v>726</v>
      </c>
      <c r="F226" s="616"/>
      <c r="G226" s="31" t="s">
        <v>656</v>
      </c>
      <c r="H226" s="31" t="s">
        <v>652</v>
      </c>
      <c r="I226" s="160" t="s">
        <v>73</v>
      </c>
    </row>
    <row r="227" spans="3:9" x14ac:dyDescent="0.3">
      <c r="C227" s="123" t="s">
        <v>700</v>
      </c>
      <c r="D227" s="31">
        <v>46</v>
      </c>
      <c r="E227" s="614" t="s">
        <v>726</v>
      </c>
      <c r="F227" s="616"/>
      <c r="G227" s="31" t="s">
        <v>656</v>
      </c>
      <c r="H227" s="31" t="s">
        <v>652</v>
      </c>
      <c r="I227" s="160" t="s">
        <v>73</v>
      </c>
    </row>
    <row r="228" spans="3:9" x14ac:dyDescent="0.3">
      <c r="C228" s="123" t="s">
        <v>701</v>
      </c>
      <c r="D228" s="31">
        <v>31</v>
      </c>
      <c r="E228" s="614" t="s">
        <v>1513</v>
      </c>
      <c r="F228" s="616"/>
      <c r="G228" s="31" t="s">
        <v>656</v>
      </c>
      <c r="H228" s="31" t="s">
        <v>652</v>
      </c>
      <c r="I228" s="160" t="s">
        <v>73</v>
      </c>
    </row>
    <row r="229" spans="3:9" ht="15" thickBot="1" x14ac:dyDescent="0.35">
      <c r="C229" s="123" t="s">
        <v>1509</v>
      </c>
      <c r="D229" s="311">
        <v>35</v>
      </c>
      <c r="E229" s="687" t="s">
        <v>715</v>
      </c>
      <c r="F229" s="688"/>
      <c r="G229" s="31" t="s">
        <v>654</v>
      </c>
      <c r="H229" s="31" t="s">
        <v>654</v>
      </c>
      <c r="I229" s="160"/>
    </row>
    <row r="230" spans="3:9" x14ac:dyDescent="0.3">
      <c r="C230" s="308" t="s">
        <v>702</v>
      </c>
      <c r="D230" s="309">
        <f>D231</f>
        <v>214</v>
      </c>
      <c r="E230" s="684" t="s">
        <v>720</v>
      </c>
      <c r="F230" s="685"/>
      <c r="G230" s="309" t="s">
        <v>715</v>
      </c>
      <c r="H230" s="309" t="s">
        <v>715</v>
      </c>
      <c r="I230" s="310"/>
    </row>
    <row r="231" spans="3:9" x14ac:dyDescent="0.3">
      <c r="C231" s="123" t="s">
        <v>703</v>
      </c>
      <c r="D231" s="31">
        <v>214</v>
      </c>
      <c r="E231" s="123" t="s">
        <v>722</v>
      </c>
      <c r="F231" s="183"/>
      <c r="G231" s="31" t="s">
        <v>656</v>
      </c>
      <c r="H231" s="31" t="s">
        <v>652</v>
      </c>
      <c r="I231" s="160" t="s">
        <v>73</v>
      </c>
    </row>
    <row r="232" spans="3:9" x14ac:dyDescent="0.3">
      <c r="C232" s="123" t="s">
        <v>704</v>
      </c>
      <c r="D232" s="31">
        <v>284</v>
      </c>
      <c r="E232" s="123" t="s">
        <v>723</v>
      </c>
      <c r="F232" s="183"/>
      <c r="G232" s="31" t="s">
        <v>656</v>
      </c>
      <c r="H232" s="31" t="s">
        <v>652</v>
      </c>
      <c r="I232" s="160" t="s">
        <v>73</v>
      </c>
    </row>
    <row r="233" spans="3:9" x14ac:dyDescent="0.3">
      <c r="C233" s="123" t="s">
        <v>705</v>
      </c>
      <c r="D233" s="31">
        <v>271</v>
      </c>
      <c r="E233" s="614" t="s">
        <v>1517</v>
      </c>
      <c r="F233" s="616"/>
      <c r="G233" s="31" t="s">
        <v>656</v>
      </c>
      <c r="H233" s="31" t="s">
        <v>652</v>
      </c>
      <c r="I233" s="160" t="s">
        <v>73</v>
      </c>
    </row>
    <row r="234" spans="3:9" x14ac:dyDescent="0.3">
      <c r="C234" s="305" t="s">
        <v>706</v>
      </c>
      <c r="D234" s="31">
        <v>238</v>
      </c>
      <c r="E234" s="614" t="s">
        <v>1512</v>
      </c>
      <c r="F234" s="616"/>
      <c r="G234" s="31" t="s">
        <v>656</v>
      </c>
      <c r="H234" s="31" t="s">
        <v>652</v>
      </c>
      <c r="I234" s="160" t="s">
        <v>73</v>
      </c>
    </row>
    <row r="235" spans="3:9" ht="15" thickBot="1" x14ac:dyDescent="0.35">
      <c r="C235" s="305" t="s">
        <v>1510</v>
      </c>
      <c r="D235" s="311">
        <f>D234</f>
        <v>238</v>
      </c>
      <c r="E235" s="614" t="s">
        <v>715</v>
      </c>
      <c r="F235" s="616"/>
      <c r="G235" s="31" t="s">
        <v>654</v>
      </c>
      <c r="H235" s="31" t="s">
        <v>654</v>
      </c>
      <c r="I235" s="160"/>
    </row>
    <row r="236" spans="3:9" x14ac:dyDescent="0.3">
      <c r="C236" s="308" t="s">
        <v>707</v>
      </c>
      <c r="D236" s="308">
        <f>ROUND(2700000/(2*3800),0)</f>
        <v>355</v>
      </c>
      <c r="E236" s="308" t="s">
        <v>724</v>
      </c>
      <c r="F236" s="309"/>
      <c r="G236" s="309" t="s">
        <v>656</v>
      </c>
      <c r="H236" s="309" t="s">
        <v>652</v>
      </c>
      <c r="I236" s="160" t="s">
        <v>73</v>
      </c>
    </row>
    <row r="237" spans="3:9" x14ac:dyDescent="0.3">
      <c r="C237" s="123" t="s">
        <v>708</v>
      </c>
      <c r="D237" s="31">
        <f t="shared" ref="D237:D241" si="14">ROUND(2700000/(2*3800),0)</f>
        <v>355</v>
      </c>
      <c r="E237" s="123" t="s">
        <v>724</v>
      </c>
      <c r="F237" s="183"/>
      <c r="G237" s="31" t="s">
        <v>656</v>
      </c>
      <c r="H237" s="31" t="s">
        <v>652</v>
      </c>
      <c r="I237" s="160" t="s">
        <v>73</v>
      </c>
    </row>
    <row r="238" spans="3:9" x14ac:dyDescent="0.3">
      <c r="C238" s="123" t="s">
        <v>709</v>
      </c>
      <c r="D238" s="31">
        <f t="shared" si="14"/>
        <v>355</v>
      </c>
      <c r="E238" s="123" t="s">
        <v>724</v>
      </c>
      <c r="F238" s="183"/>
      <c r="G238" s="31" t="s">
        <v>656</v>
      </c>
      <c r="H238" s="31" t="s">
        <v>652</v>
      </c>
      <c r="I238" s="160" t="s">
        <v>73</v>
      </c>
    </row>
    <row r="239" spans="3:9" x14ac:dyDescent="0.3">
      <c r="C239" s="123" t="s">
        <v>710</v>
      </c>
      <c r="D239" s="31">
        <f t="shared" si="14"/>
        <v>355</v>
      </c>
      <c r="E239" s="123" t="s">
        <v>724</v>
      </c>
      <c r="F239" s="183"/>
      <c r="G239" s="31" t="s">
        <v>656</v>
      </c>
      <c r="H239" s="31" t="s">
        <v>652</v>
      </c>
      <c r="I239" s="160" t="s">
        <v>73</v>
      </c>
    </row>
    <row r="240" spans="3:9" x14ac:dyDescent="0.3">
      <c r="C240" s="123" t="s">
        <v>711</v>
      </c>
      <c r="D240" s="31">
        <f t="shared" si="14"/>
        <v>355</v>
      </c>
      <c r="E240" s="123" t="s">
        <v>724</v>
      </c>
      <c r="F240" s="183"/>
      <c r="G240" s="31" t="s">
        <v>656</v>
      </c>
      <c r="H240" s="31" t="s">
        <v>652</v>
      </c>
      <c r="I240" s="160" t="s">
        <v>73</v>
      </c>
    </row>
    <row r="241" spans="3:9" x14ac:dyDescent="0.3">
      <c r="C241" s="123" t="s">
        <v>1511</v>
      </c>
      <c r="D241" s="31">
        <f t="shared" si="14"/>
        <v>355</v>
      </c>
      <c r="E241" s="123" t="s">
        <v>724</v>
      </c>
      <c r="F241" s="183"/>
      <c r="G241" s="31" t="s">
        <v>656</v>
      </c>
      <c r="H241" s="31" t="s">
        <v>652</v>
      </c>
      <c r="I241" s="160" t="s">
        <v>73</v>
      </c>
    </row>
    <row r="242" spans="3:9" x14ac:dyDescent="0.3"/>
    <row r="243" spans="3:9" x14ac:dyDescent="0.3"/>
  </sheetData>
  <sheetProtection algorithmName="SHA-512" hashValue="yYz7FZYsq6yX6u1majcfSeoEbnk0a3PTphhafyazTu5nqwfSQo/nGraOwXJ0NDSGlfXO0eBsMGL4cQkVDa2eJQ==" saltValue="ecglSG5KNIV9YVdkXmIhjA==" spinCount="100000" sheet="1" objects="1" scenarios="1"/>
  <mergeCells count="59">
    <mergeCell ref="E228:F228"/>
    <mergeCell ref="E234:F234"/>
    <mergeCell ref="E230:F230"/>
    <mergeCell ref="E233:F233"/>
    <mergeCell ref="E177:F177"/>
    <mergeCell ref="E178:F178"/>
    <mergeCell ref="E190:F190"/>
    <mergeCell ref="E191:F191"/>
    <mergeCell ref="E193:F193"/>
    <mergeCell ref="E218:F218"/>
    <mergeCell ref="E219:F219"/>
    <mergeCell ref="E194:F194"/>
    <mergeCell ref="E200:F200"/>
    <mergeCell ref="E202:F202"/>
    <mergeCell ref="E203:F203"/>
    <mergeCell ref="E211:F211"/>
    <mergeCell ref="C9:I9"/>
    <mergeCell ref="C14:I14"/>
    <mergeCell ref="C82:I82"/>
    <mergeCell ref="E197:F197"/>
    <mergeCell ref="E199:F199"/>
    <mergeCell ref="C53:H54"/>
    <mergeCell ref="C71:H72"/>
    <mergeCell ref="E195:F195"/>
    <mergeCell ref="E196:F196"/>
    <mergeCell ref="E180:F180"/>
    <mergeCell ref="E186:F186"/>
    <mergeCell ref="E192:F192"/>
    <mergeCell ref="E198:F198"/>
    <mergeCell ref="E225:F225"/>
    <mergeCell ref="E226:F226"/>
    <mergeCell ref="E201:F201"/>
    <mergeCell ref="E220:F220"/>
    <mergeCell ref="E221:F221"/>
    <mergeCell ref="E223:F223"/>
    <mergeCell ref="E208:F208"/>
    <mergeCell ref="E209:F209"/>
    <mergeCell ref="E207:F207"/>
    <mergeCell ref="E204:F204"/>
    <mergeCell ref="E210:F210"/>
    <mergeCell ref="E222:F222"/>
    <mergeCell ref="E205:F205"/>
    <mergeCell ref="E206:F206"/>
    <mergeCell ref="E235:F235"/>
    <mergeCell ref="C23:I23"/>
    <mergeCell ref="C141:I141"/>
    <mergeCell ref="E179:F179"/>
    <mergeCell ref="E181:F181"/>
    <mergeCell ref="E182:F182"/>
    <mergeCell ref="E183:F183"/>
    <mergeCell ref="E184:F184"/>
    <mergeCell ref="E185:F185"/>
    <mergeCell ref="E187:F187"/>
    <mergeCell ref="E188:F188"/>
    <mergeCell ref="E189:F189"/>
    <mergeCell ref="C152:I154"/>
    <mergeCell ref="E227:F227"/>
    <mergeCell ref="E229:F229"/>
    <mergeCell ref="E224:F224"/>
  </mergeCells>
  <phoneticPr fontId="39" type="noConversion"/>
  <conditionalFormatting sqref="C58">
    <cfRule type="duplicateValues" dxfId="0" priority="1"/>
  </conditionalFormatting>
  <dataValidations disablePrompts="1" xWindow="1426" yWindow="1292" count="3">
    <dataValidation type="list" allowBlank="1" showInputMessage="1" showErrorMessage="1" sqref="D147">
      <formula1>"Schüttmeter,kWh"</formula1>
    </dataValidation>
    <dataValidation type="list" allowBlank="1" showInputMessage="1" prompt="Prozentzahl eingeben oder Auswahlmenü verwenden." sqref="F27:F29 F42:F47 F38 F31 F33 F35:F36 F40">
      <formula1>"Anteil nach Personenzahl,Anteil nach Fläche"</formula1>
    </dataValidation>
    <dataValidation allowBlank="1" showInputMessage="1" showErrorMessage="1" promptTitle="Hinweis" prompt="Diese Werte werden für die Berechnungen verwendet. Damit die Ergebnisse zwischen den Schulen verglichen werden können, sollten diese Werte nicht geändert werden._x000a_" sqref="E16:E18"/>
  </dataValidations>
  <hyperlinks>
    <hyperlink ref="A5" location="Inhalt!A1" display="&lt;= Start"/>
    <hyperlink ref="G92" r:id="rId1" display="http://iinas.org/tl_files/iinas/downloads/GEMIS/2007_thg_fossil_BGW.pdf"/>
    <hyperlink ref="G94" r:id="rId2" display="http://iinas.org/tl_files/iinas/downloads/GEMIS/2007_thg_fossil_BGW.pdf"/>
    <hyperlink ref="G102" r:id="rId3"/>
    <hyperlink ref="G103" r:id="rId4"/>
    <hyperlink ref="I253" r:id="rId5" display="Link"/>
    <hyperlink ref="I254" r:id="rId6" display="Link"/>
    <hyperlink ref="I258" r:id="rId7" display="Link"/>
    <hyperlink ref="I264" r:id="rId8" display="Link"/>
    <hyperlink ref="I265" r:id="rId9" display="Link"/>
    <hyperlink ref="I252" r:id="rId10" display="Link"/>
    <hyperlink ref="H159" r:id="rId11" location="Strommix"/>
    <hyperlink ref="H160" r:id="rId12" location="Strommix"/>
    <hyperlink ref="H161" r:id="rId13" location="Strommix"/>
    <hyperlink ref="H162" r:id="rId14" location="Strommix"/>
    <hyperlink ref="I201" r:id="rId15"/>
    <hyperlink ref="I202" r:id="rId16"/>
    <hyperlink ref="I183" r:id="rId17"/>
    <hyperlink ref="I184" r:id="rId18"/>
    <hyperlink ref="I189" r:id="rId19"/>
    <hyperlink ref="I190" r:id="rId20"/>
    <hyperlink ref="I225" r:id="rId21"/>
    <hyperlink ref="I226" r:id="rId22"/>
    <hyperlink ref="I231" r:id="rId23"/>
    <hyperlink ref="I232" r:id="rId24"/>
    <hyperlink ref="I213:I214" r:id="rId25" display="Link"/>
    <hyperlink ref="C86" location="Allgemeines!A1" display="Das Bezugsjahr kann im Tabellenblatt Allgemeines eingestellt werden."/>
    <hyperlink ref="I236" r:id="rId26" location="hintergrund"/>
    <hyperlink ref="I237:I241" r:id="rId27" location="hintergrund" display="Link"/>
    <hyperlink ref="G130" r:id="rId28"/>
    <hyperlink ref="G128" r:id="rId29"/>
    <hyperlink ref="G129" r:id="rId30"/>
    <hyperlink ref="C27" location="Heizsystem!A1" display="Heizsystem"/>
    <hyperlink ref="C28" location="Stromverbrauch!A1" display="Stromverbrauch"/>
    <hyperlink ref="C29" location="PV!A1" display="bestehende PV-Anlage"/>
    <hyperlink ref="C35" location="Klassenfahrten!A1" display="Emissionen Klassenfahrten"/>
    <hyperlink ref="C36" location="Schüleraustausch!A1" display="Emissionen Schüleraustausch"/>
    <hyperlink ref="G133" r:id="rId31"/>
    <hyperlink ref="G134" r:id="rId32"/>
    <hyperlink ref="G137" r:id="rId33"/>
    <hyperlink ref="G56" location="Allgemeines!A1" display="Das Bezugsjahr kann im Tabellenblatt Allgemeines eingestellt werden."/>
    <hyperlink ref="C40" location="Ernährung!A100" display="CO₂-Rechner Kiosk / Snacks"/>
    <hyperlink ref="C31" location="Schulwege!C31" display="Schulwege Schülerinnen und Schüler"/>
    <hyperlink ref="C33" location="Schulwege!C158" display="Schulwege Lehrerinnen und Lehrer"/>
    <hyperlink ref="C38" location="Ernährung!A1" display="CO₂-Rechner Schulessen"/>
    <hyperlink ref="C42" location="Beschaffung_1!A1" display="Beschaffung Papier"/>
    <hyperlink ref="C43" location="Beschaffung_2!A16" display="Wasserverbrauch"/>
    <hyperlink ref="C44" location="Inhalt!A37" display="Abfall (nur Restmüll)"/>
    <hyperlink ref="C45" location="Beschaffung_2!A97" display="Beschaffung Schulbücher"/>
    <hyperlink ref="C46" location="Beschaffung_2!A51" display="Beschaffung Stühle &amp; Tische"/>
    <hyperlink ref="C47" location="Beschaffung_2!A62" display="Beschaffung IT"/>
    <hyperlink ref="H163" r:id="rId34" location="Strommix"/>
    <hyperlink ref="I240" r:id="rId35" location="hintergrund"/>
    <hyperlink ref="I204" r:id="rId36"/>
    <hyperlink ref="I222" r:id="rId37"/>
    <hyperlink ref="I234" r:id="rId38"/>
    <hyperlink ref="I228" r:id="rId39"/>
    <hyperlink ref="I186" r:id="rId40"/>
    <hyperlink ref="I192" r:id="rId41"/>
    <hyperlink ref="I203" r:id="rId42"/>
    <hyperlink ref="I227" r:id="rId43"/>
    <hyperlink ref="I233" r:id="rId44"/>
    <hyperlink ref="I191" r:id="rId45"/>
    <hyperlink ref="I185" r:id="rId46"/>
  </hyperlinks>
  <pageMargins left="0.7" right="0.7" top="0.75" bottom="0.75" header="0.3" footer="0.3"/>
  <pageSetup orientation="portrait" r:id="rId47"/>
  <drawing r:id="rId48"/>
  <extLst>
    <ext xmlns:x14="http://schemas.microsoft.com/office/spreadsheetml/2009/9/main" uri="{CCE6A557-97BC-4b89-ADB6-D9C93CAAB3DF}">
      <x14:dataValidations xmlns:xm="http://schemas.microsoft.com/office/excel/2006/main" disablePrompts="1" xWindow="1426" yWindow="1292" count="1">
        <x14:dataValidation type="list" allowBlank="1" showInputMessage="1" showErrorMessage="1">
          <x14:formula1>
            <xm:f>Lookup!$E$59:$E$64</xm:f>
          </x14:formula1>
          <xm:sqref>E58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272"/>
  <sheetViews>
    <sheetView showGridLines="0" zoomScaleNormal="100" workbookViewId="0">
      <selection activeCell="A5" sqref="A5"/>
    </sheetView>
  </sheetViews>
  <sheetFormatPr baseColWidth="10" defaultColWidth="0" defaultRowHeight="0" customHeight="1" zeroHeight="1" x14ac:dyDescent="0.3"/>
  <cols>
    <col min="1" max="1" width="7" customWidth="1"/>
    <col min="2" max="2" width="1.6640625" customWidth="1"/>
    <col min="3" max="3" width="28.33203125" customWidth="1"/>
    <col min="4" max="5" width="17.77734375" customWidth="1"/>
    <col min="6" max="6" width="9.6640625" customWidth="1"/>
    <col min="7" max="8" width="17.77734375" customWidth="1"/>
    <col min="9" max="10" width="13.5546875" customWidth="1"/>
    <col min="11" max="11" width="8.88671875" customWidth="1"/>
    <col min="12" max="16384" width="8.88671875" hidden="1"/>
  </cols>
  <sheetData>
    <row r="1" spans="1:16" ht="12" customHeight="1" x14ac:dyDescent="0.3">
      <c r="A1" s="1"/>
      <c r="B1" s="1"/>
      <c r="C1" s="1"/>
      <c r="D1" s="1"/>
      <c r="E1" s="1"/>
      <c r="F1" s="1"/>
      <c r="G1" s="1"/>
      <c r="H1" s="1"/>
      <c r="I1" s="1"/>
      <c r="J1" s="1"/>
      <c r="K1" s="1"/>
      <c r="L1" s="1"/>
      <c r="M1" s="1"/>
      <c r="N1" s="1"/>
      <c r="O1" s="1"/>
      <c r="P1" s="1"/>
    </row>
    <row r="2" spans="1:16" ht="12" customHeight="1" x14ac:dyDescent="0.3">
      <c r="A2" s="1"/>
      <c r="B2" s="1"/>
      <c r="C2" s="1"/>
      <c r="D2" s="1"/>
      <c r="E2" s="1"/>
      <c r="F2" s="1"/>
      <c r="G2" s="1"/>
      <c r="H2" s="1"/>
      <c r="I2" s="1"/>
      <c r="J2" s="1"/>
      <c r="K2" s="1"/>
      <c r="L2" s="1"/>
      <c r="M2" s="1"/>
      <c r="N2" s="1"/>
      <c r="O2" s="1"/>
      <c r="P2" s="1"/>
    </row>
    <row r="3" spans="1:16" ht="32.4" customHeight="1" x14ac:dyDescent="0.55000000000000004">
      <c r="A3" s="1"/>
      <c r="B3" s="1"/>
      <c r="C3" s="1"/>
      <c r="D3" s="2" t="s">
        <v>1448</v>
      </c>
      <c r="E3" s="1"/>
      <c r="F3" s="2"/>
      <c r="G3" s="1"/>
      <c r="H3" s="1"/>
      <c r="I3" s="1"/>
      <c r="J3" s="1"/>
      <c r="K3" s="2"/>
      <c r="L3" s="1"/>
      <c r="M3" s="1"/>
      <c r="N3" s="1"/>
      <c r="O3" s="1"/>
      <c r="P3" s="1"/>
    </row>
    <row r="4" spans="1:16" ht="18.45" customHeight="1" thickBot="1" x14ac:dyDescent="0.4">
      <c r="A4" s="245"/>
      <c r="B4" s="245"/>
      <c r="C4" s="245"/>
      <c r="D4" s="339" t="str">
        <f>NameDerSchule</f>
        <v>Schule ABC</v>
      </c>
      <c r="E4" s="245"/>
      <c r="F4" s="245"/>
      <c r="G4" s="245"/>
      <c r="H4" s="245"/>
      <c r="I4" s="245"/>
      <c r="J4" s="245"/>
      <c r="K4" s="245"/>
      <c r="L4" s="14"/>
      <c r="M4" s="14"/>
      <c r="N4" s="14"/>
      <c r="O4" s="14"/>
      <c r="P4" s="14"/>
    </row>
    <row r="5" spans="1:16" ht="15" thickTop="1" x14ac:dyDescent="0.3">
      <c r="A5" s="26" t="s">
        <v>63</v>
      </c>
      <c r="B5" s="26"/>
      <c r="F5" s="194"/>
      <c r="G5" s="194"/>
      <c r="H5" s="194"/>
      <c r="I5" s="194"/>
      <c r="J5" s="194"/>
      <c r="K5" s="194"/>
    </row>
    <row r="6" spans="1:16" ht="14.4" x14ac:dyDescent="0.3">
      <c r="F6" s="194"/>
      <c r="G6" s="194"/>
      <c r="H6" s="194"/>
      <c r="I6" s="194"/>
      <c r="J6" s="194"/>
      <c r="K6" s="194"/>
    </row>
    <row r="7" spans="1:16" ht="18" thickBot="1" x14ac:dyDescent="0.4">
      <c r="C7" s="3" t="s">
        <v>1448</v>
      </c>
      <c r="D7" s="3"/>
      <c r="E7" s="3"/>
      <c r="F7" s="194"/>
      <c r="G7" s="194"/>
      <c r="H7" s="194"/>
      <c r="I7" s="194"/>
      <c r="J7" s="194"/>
      <c r="K7" s="194"/>
    </row>
    <row r="8" spans="1:16" ht="15" thickTop="1" x14ac:dyDescent="0.3">
      <c r="E8" s="194"/>
      <c r="F8" s="194"/>
      <c r="G8" s="194"/>
      <c r="H8" s="194"/>
      <c r="I8" s="194"/>
      <c r="J8" s="194"/>
      <c r="K8" s="194"/>
    </row>
    <row r="9" spans="1:16" ht="14.4" x14ac:dyDescent="0.3">
      <c r="C9" s="8" t="s">
        <v>1457</v>
      </c>
      <c r="E9" s="194"/>
      <c r="F9" s="194"/>
      <c r="G9" s="194"/>
      <c r="H9" s="194"/>
      <c r="I9" s="194"/>
      <c r="J9" s="194"/>
      <c r="K9" s="194"/>
    </row>
    <row r="10" spans="1:16" ht="17.399999999999999" customHeight="1" x14ac:dyDescent="0.3">
      <c r="C10" t="s">
        <v>1458</v>
      </c>
      <c r="D10" s="74">
        <f>EnergienutzflaecheGesamt</f>
        <v>9999</v>
      </c>
      <c r="E10" s="549"/>
      <c r="F10" s="194"/>
      <c r="G10" s="194"/>
      <c r="H10" s="194"/>
      <c r="I10" s="194"/>
      <c r="J10" s="194"/>
      <c r="K10" s="194"/>
    </row>
    <row r="11" spans="1:16" ht="17.399999999999999" customHeight="1" x14ac:dyDescent="0.3">
      <c r="C11" t="s">
        <v>1460</v>
      </c>
      <c r="D11" s="74">
        <f>AnteilSchuleNachPutzflaeche</f>
        <v>1</v>
      </c>
      <c r="E11" s="549"/>
      <c r="F11" s="194"/>
      <c r="G11" s="194"/>
      <c r="H11" s="194"/>
      <c r="I11" s="194"/>
      <c r="J11" s="194"/>
      <c r="K11" s="194"/>
    </row>
    <row r="12" spans="1:16" ht="17.399999999999999" customHeight="1" x14ac:dyDescent="0.3">
      <c r="C12" t="s">
        <v>1459</v>
      </c>
      <c r="D12" s="74">
        <f>D10*D11</f>
        <v>9999</v>
      </c>
      <c r="E12" s="549"/>
      <c r="F12" s="194"/>
      <c r="G12" s="194"/>
      <c r="H12" s="194"/>
      <c r="I12" s="194"/>
      <c r="J12" s="194"/>
      <c r="K12" s="194"/>
    </row>
    <row r="13" spans="1:16" ht="17.399999999999999" customHeight="1" x14ac:dyDescent="0.3">
      <c r="D13" s="74"/>
      <c r="E13" s="549"/>
      <c r="F13" s="194"/>
      <c r="G13" s="194"/>
      <c r="H13" s="194"/>
      <c r="I13" s="194"/>
      <c r="J13" s="194"/>
      <c r="K13" s="194"/>
    </row>
    <row r="14" spans="1:16" ht="17.399999999999999" customHeight="1" x14ac:dyDescent="0.3">
      <c r="C14" t="s">
        <v>1449</v>
      </c>
      <c r="D14" s="74">
        <f>AnzahlSchueler</f>
        <v>999</v>
      </c>
      <c r="E14" s="194"/>
      <c r="F14" s="194"/>
      <c r="G14" s="194"/>
      <c r="H14" s="194"/>
      <c r="I14" s="194"/>
      <c r="J14" s="194"/>
      <c r="K14" s="194"/>
    </row>
    <row r="15" spans="1:16" ht="17.399999999999999" customHeight="1" x14ac:dyDescent="0.3">
      <c r="C15" t="s">
        <v>1450</v>
      </c>
      <c r="D15" s="74">
        <f>AnzahlLehrer</f>
        <v>99</v>
      </c>
      <c r="E15" s="194"/>
      <c r="F15" s="194"/>
      <c r="G15" s="194"/>
      <c r="H15" s="194"/>
      <c r="I15" s="194"/>
      <c r="J15" s="194"/>
      <c r="K15" s="194"/>
    </row>
    <row r="16" spans="1:16" ht="17.399999999999999" customHeight="1" x14ac:dyDescent="0.3">
      <c r="C16" t="s">
        <v>473</v>
      </c>
      <c r="D16" s="74">
        <f>D14+D15</f>
        <v>1098</v>
      </c>
      <c r="E16" s="194"/>
      <c r="F16" s="194"/>
      <c r="G16" s="194"/>
      <c r="H16" s="194"/>
      <c r="I16" s="194"/>
      <c r="J16" s="194"/>
      <c r="K16" s="194"/>
    </row>
    <row r="17" spans="2:11" ht="17.399999999999999" customHeight="1" x14ac:dyDescent="0.3">
      <c r="D17" s="74"/>
      <c r="E17" s="194"/>
      <c r="F17" s="194"/>
      <c r="G17" s="194"/>
      <c r="H17" s="194"/>
      <c r="I17" s="194"/>
      <c r="J17" s="194"/>
      <c r="K17" s="194"/>
    </row>
    <row r="18" spans="2:11" ht="17.399999999999999" customHeight="1" thickBot="1" x14ac:dyDescent="0.4">
      <c r="C18" s="3" t="s">
        <v>93</v>
      </c>
      <c r="D18" s="3"/>
      <c r="E18" s="194"/>
      <c r="F18" s="194"/>
      <c r="G18" s="194"/>
      <c r="H18" s="194"/>
      <c r="I18" s="194"/>
      <c r="J18" s="194"/>
      <c r="K18" s="194"/>
    </row>
    <row r="19" spans="2:11" ht="8.4" customHeight="1" thickTop="1" x14ac:dyDescent="0.3"/>
    <row r="20" spans="2:11" ht="49.2" customHeight="1" x14ac:dyDescent="0.3">
      <c r="C20" s="681" t="s">
        <v>1479</v>
      </c>
      <c r="D20" s="682"/>
      <c r="E20" s="682"/>
      <c r="F20" s="682"/>
      <c r="G20" s="682"/>
      <c r="H20" s="682"/>
      <c r="I20" s="683"/>
    </row>
    <row r="21" spans="2:11" ht="17.399999999999999" customHeight="1" x14ac:dyDescent="0.3">
      <c r="D21" s="74"/>
      <c r="I21" s="194"/>
      <c r="J21" s="194"/>
      <c r="K21" s="194"/>
    </row>
    <row r="22" spans="2:11" ht="23.4" customHeight="1" x14ac:dyDescent="0.35">
      <c r="B22" s="315"/>
      <c r="C22" s="548" t="s">
        <v>727</v>
      </c>
      <c r="D22" s="694" t="s">
        <v>1462</v>
      </c>
      <c r="E22" s="695"/>
      <c r="F22" s="696" t="s">
        <v>1452</v>
      </c>
      <c r="G22" s="691" t="s">
        <v>1455</v>
      </c>
      <c r="H22" s="691" t="s">
        <v>1456</v>
      </c>
      <c r="I22" s="194"/>
      <c r="J22" s="194"/>
      <c r="K22" s="194"/>
    </row>
    <row r="23" spans="2:11" ht="11.4" customHeight="1" x14ac:dyDescent="0.3">
      <c r="B23" s="315"/>
      <c r="C23" s="31"/>
      <c r="D23" s="545" t="s">
        <v>1463</v>
      </c>
      <c r="E23" s="544" t="s">
        <v>1464</v>
      </c>
      <c r="F23" s="697"/>
      <c r="G23" s="691"/>
      <c r="H23" s="691"/>
      <c r="I23" s="194"/>
      <c r="J23" s="194"/>
      <c r="K23" s="194"/>
    </row>
    <row r="24" spans="2:11" ht="17.399999999999999" customHeight="1" x14ac:dyDescent="0.3">
      <c r="B24" s="315"/>
      <c r="C24" s="31" t="s">
        <v>1451</v>
      </c>
      <c r="D24" s="34">
        <f>Heizsystem!H51</f>
        <v>31776.822000000004</v>
      </c>
      <c r="E24" s="150">
        <f>Einstellungen!H27</f>
        <v>15888.411000000002</v>
      </c>
      <c r="F24" s="151">
        <f>E24/$E$45</f>
        <v>0.10196998999164254</v>
      </c>
      <c r="G24" s="98">
        <f>E24/$D$12</f>
        <v>1.5890000000000002</v>
      </c>
      <c r="H24" s="98">
        <f>E24/$D$16</f>
        <v>14.470319672131149</v>
      </c>
      <c r="I24" s="194"/>
      <c r="J24" s="194"/>
      <c r="K24" s="194"/>
    </row>
    <row r="25" spans="2:11" ht="17.399999999999999" customHeight="1" x14ac:dyDescent="0.3">
      <c r="B25" s="315"/>
      <c r="C25" s="31" t="s">
        <v>6</v>
      </c>
      <c r="D25" s="34">
        <f>Stromverbrauch!E32</f>
        <v>49999.5</v>
      </c>
      <c r="E25" s="150">
        <f>Einstellungen!H28</f>
        <v>24999.75</v>
      </c>
      <c r="F25" s="151">
        <f>E25/$E$45</f>
        <v>0.16044551322933207</v>
      </c>
      <c r="G25" s="98">
        <f>E25/$D$12</f>
        <v>2.5002250225022502</v>
      </c>
      <c r="H25" s="98">
        <f>E25/$D$16</f>
        <v>22.768442622950818</v>
      </c>
      <c r="I25" s="194"/>
      <c r="J25" s="194"/>
      <c r="K25" s="194"/>
    </row>
    <row r="26" spans="2:11" ht="17.399999999999999" customHeight="1" x14ac:dyDescent="0.3">
      <c r="B26" s="315"/>
      <c r="C26" s="31" t="s">
        <v>7</v>
      </c>
      <c r="D26" s="34">
        <f>-PV!D69</f>
        <v>-45287.816936808849</v>
      </c>
      <c r="E26" s="150">
        <f>Einstellungen!H29</f>
        <v>-22643.908468404425</v>
      </c>
      <c r="F26" s="151"/>
      <c r="G26" s="98">
        <f>E26/$D$12</f>
        <v>-2.2646173085712995</v>
      </c>
      <c r="H26" s="98">
        <f>E26/$D$16</f>
        <v>-20.622867457563228</v>
      </c>
      <c r="I26" s="194"/>
      <c r="J26" s="194"/>
      <c r="K26" s="194"/>
    </row>
    <row r="27" spans="2:11" ht="17.399999999999999" customHeight="1" x14ac:dyDescent="0.3">
      <c r="I27" s="194"/>
      <c r="J27" s="194"/>
      <c r="K27" s="194"/>
    </row>
    <row r="28" spans="2:11" ht="17.399999999999999" customHeight="1" x14ac:dyDescent="0.35">
      <c r="B28" s="320"/>
      <c r="C28" s="548" t="s">
        <v>728</v>
      </c>
      <c r="I28" s="194"/>
      <c r="J28" s="194"/>
      <c r="K28" s="194"/>
    </row>
    <row r="29" spans="2:11" ht="17.399999999999999" customHeight="1" x14ac:dyDescent="0.3">
      <c r="B29" s="320"/>
      <c r="C29" s="31" t="s">
        <v>1401</v>
      </c>
      <c r="D29" s="34">
        <f>IF(Schulwege!$E$299="vereinfachte Abschätzung",Einstellungen!E32,Einstellungen!E31)</f>
        <v>100093.14</v>
      </c>
      <c r="E29" s="150">
        <f>Einstellungen!H31</f>
        <v>50046.57</v>
      </c>
      <c r="F29" s="151">
        <f>E29/$E$45</f>
        <v>0.3211931162918707</v>
      </c>
      <c r="G29" s="98">
        <f>E29/$D$12</f>
        <v>5.0051575157515753</v>
      </c>
      <c r="H29" s="98">
        <f>E29/$D$16</f>
        <v>45.579754098360652</v>
      </c>
      <c r="I29" s="194"/>
      <c r="J29" s="194"/>
      <c r="K29" s="194"/>
    </row>
    <row r="30" spans="2:11" ht="17.399999999999999" customHeight="1" x14ac:dyDescent="0.3">
      <c r="B30" s="320"/>
      <c r="C30" s="31" t="s">
        <v>1402</v>
      </c>
      <c r="D30" s="34">
        <f>IF(Schulwege!$E$317="vereinfachte Abschätzung",Einstellungen!E34,Einstellungen!E33)</f>
        <v>18812.804999999997</v>
      </c>
      <c r="E30" s="150">
        <f>Einstellungen!H33</f>
        <v>9406.4024999999983</v>
      </c>
      <c r="F30" s="151">
        <f>E30/$E$45</f>
        <v>6.0369206762234506E-2</v>
      </c>
      <c r="G30" s="98">
        <f>E30/$D$12</f>
        <v>0.94073432343234309</v>
      </c>
      <c r="H30" s="98">
        <f>E30/$D$16</f>
        <v>8.5668510928961741</v>
      </c>
      <c r="I30" s="194"/>
      <c r="J30" s="194"/>
      <c r="K30" s="194"/>
    </row>
    <row r="31" spans="2:11" ht="17.399999999999999" customHeight="1" x14ac:dyDescent="0.3">
      <c r="B31" s="320"/>
      <c r="C31" s="31" t="s">
        <v>414</v>
      </c>
      <c r="D31" s="34">
        <f>Einstellungen!E35</f>
        <v>25918.5</v>
      </c>
      <c r="E31" s="150">
        <f>Einstellungen!H35</f>
        <v>12959.25</v>
      </c>
      <c r="F31" s="151">
        <f>E31/$E$45</f>
        <v>8.317097240241289E-2</v>
      </c>
      <c r="G31" s="98">
        <f>E31/$D$12</f>
        <v>1.296054605460546</v>
      </c>
      <c r="H31" s="98">
        <f>E31/$D$16</f>
        <v>11.8025956284153</v>
      </c>
      <c r="I31" s="194"/>
      <c r="J31" s="194"/>
      <c r="K31" s="194"/>
    </row>
    <row r="32" spans="2:11" ht="17.399999999999999" customHeight="1" x14ac:dyDescent="0.3">
      <c r="B32" s="320"/>
      <c r="C32" s="31" t="s">
        <v>552</v>
      </c>
      <c r="D32" s="34">
        <f>Einstellungen!E36</f>
        <v>12846</v>
      </c>
      <c r="E32" s="150">
        <f>Einstellungen!H36</f>
        <v>6423</v>
      </c>
      <c r="F32" s="151">
        <f>E32/$E$45</f>
        <v>4.122207347961479E-2</v>
      </c>
      <c r="G32" s="98">
        <f>E32/$D$12</f>
        <v>0.64236423642364238</v>
      </c>
      <c r="H32" s="98">
        <f>E32/$D$16</f>
        <v>5.8497267759562845</v>
      </c>
      <c r="I32" s="194"/>
      <c r="J32" s="194"/>
      <c r="K32" s="194"/>
    </row>
    <row r="33" spans="2:11" ht="17.399999999999999" customHeight="1" x14ac:dyDescent="0.3">
      <c r="D33" s="74"/>
      <c r="G33" s="128"/>
      <c r="H33" s="128"/>
      <c r="I33" s="194"/>
      <c r="J33" s="194"/>
      <c r="K33" s="194"/>
    </row>
    <row r="34" spans="2:11" ht="17.399999999999999" customHeight="1" x14ac:dyDescent="0.35">
      <c r="B34" s="321"/>
      <c r="C34" s="548" t="s">
        <v>117</v>
      </c>
      <c r="I34" s="194"/>
      <c r="J34" s="194"/>
      <c r="K34" s="194"/>
    </row>
    <row r="35" spans="2:11" ht="17.399999999999999" customHeight="1" x14ac:dyDescent="0.3">
      <c r="B35" s="321"/>
      <c r="C35" s="31" t="s">
        <v>1218</v>
      </c>
      <c r="D35" s="34">
        <f>IF(Ernährung!$D$29="vereinfachte Abschätzung",Einstellungen!E39,Einstellungen!E38)</f>
        <v>38850</v>
      </c>
      <c r="E35" s="150">
        <f>Einstellungen!H38</f>
        <v>19425</v>
      </c>
      <c r="F35" s="151">
        <f>E35/$E$45</f>
        <v>0.12466741045329556</v>
      </c>
      <c r="G35" s="98">
        <f>E35/$D$12</f>
        <v>1.9426942694269427</v>
      </c>
      <c r="H35" s="98">
        <f>E35/$D$16</f>
        <v>17.691256830601095</v>
      </c>
      <c r="I35" s="194"/>
      <c r="J35" s="194"/>
      <c r="K35" s="194"/>
    </row>
    <row r="36" spans="2:11" ht="17.399999999999999" customHeight="1" x14ac:dyDescent="0.3">
      <c r="B36" s="321"/>
      <c r="C36" s="31" t="s">
        <v>1392</v>
      </c>
      <c r="D36" s="34">
        <f>Einstellungen!E40</f>
        <v>1684.98</v>
      </c>
      <c r="E36" s="150">
        <f>Einstellungen!H40</f>
        <v>842.49</v>
      </c>
      <c r="F36" s="151">
        <f>E36/$E$45</f>
        <v>5.4070036876600761E-3</v>
      </c>
      <c r="G36" s="98">
        <f>E36/$D$12</f>
        <v>8.4257425742574263E-2</v>
      </c>
      <c r="H36" s="98">
        <f>E36/$D$16</f>
        <v>0.76729508196721308</v>
      </c>
      <c r="I36" s="194"/>
      <c r="J36" s="194"/>
      <c r="K36" s="194"/>
    </row>
    <row r="37" spans="2:11" ht="17.399999999999999" customHeight="1" x14ac:dyDescent="0.3">
      <c r="D37" s="74"/>
      <c r="G37" s="128"/>
      <c r="H37" s="128"/>
      <c r="I37" s="194"/>
      <c r="J37" s="194"/>
      <c r="K37" s="194"/>
    </row>
    <row r="38" spans="2:11" ht="17.399999999999999" customHeight="1" x14ac:dyDescent="0.35">
      <c r="B38" s="322"/>
      <c r="C38" s="548" t="s">
        <v>340</v>
      </c>
      <c r="I38" s="194"/>
      <c r="J38" s="194"/>
      <c r="K38" s="194"/>
    </row>
    <row r="39" spans="2:11" ht="17.399999999999999" customHeight="1" x14ac:dyDescent="0.3">
      <c r="B39" s="322"/>
      <c r="C39" s="31" t="s">
        <v>960</v>
      </c>
      <c r="D39" s="34">
        <f>Einstellungen!E42</f>
        <v>8113.5450000000001</v>
      </c>
      <c r="E39" s="150">
        <f>Einstellungen!H42</f>
        <v>4056.7725</v>
      </c>
      <c r="F39" s="151">
        <f t="shared" ref="F39:F44" si="0">E39/$E$45</f>
        <v>2.6035898191667541E-2</v>
      </c>
      <c r="G39" s="98">
        <f t="shared" ref="G39:G44" si="1">E39/$D$12</f>
        <v>0.40571782178217825</v>
      </c>
      <c r="H39" s="98">
        <f t="shared" ref="H39:H44" si="2">E39/$D$16</f>
        <v>3.6946926229508197</v>
      </c>
      <c r="I39" s="194"/>
      <c r="J39" s="194"/>
      <c r="K39" s="194"/>
    </row>
    <row r="40" spans="2:11" ht="17.399999999999999" customHeight="1" x14ac:dyDescent="0.3">
      <c r="B40" s="322"/>
      <c r="C40" s="31" t="s">
        <v>968</v>
      </c>
      <c r="D40" s="34">
        <f>Einstellungen!E43</f>
        <v>5634.3600000000006</v>
      </c>
      <c r="E40" s="150">
        <f>Einstellungen!H43</f>
        <v>2817.1800000000003</v>
      </c>
      <c r="F40" s="151">
        <f t="shared" si="0"/>
        <v>1.808033644174081E-2</v>
      </c>
      <c r="G40" s="98">
        <f t="shared" si="1"/>
        <v>0.28174617461746176</v>
      </c>
      <c r="H40" s="98">
        <f t="shared" si="2"/>
        <v>2.5657377049180332</v>
      </c>
      <c r="I40" s="194"/>
      <c r="J40" s="194"/>
      <c r="K40" s="194"/>
    </row>
    <row r="41" spans="2:11" ht="17.399999999999999" customHeight="1" x14ac:dyDescent="0.3">
      <c r="B41" s="322"/>
      <c r="C41" s="31" t="s">
        <v>1054</v>
      </c>
      <c r="D41" s="34">
        <f>Einstellungen!E44</f>
        <v>100.50479999999999</v>
      </c>
      <c r="E41" s="150">
        <f>Einstellungen!H44</f>
        <v>50.252399999999994</v>
      </c>
      <c r="F41" s="151">
        <f t="shared" si="0"/>
        <v>3.2251410950132249E-4</v>
      </c>
      <c r="G41" s="98">
        <f t="shared" si="1"/>
        <v>5.0257425742574252E-3</v>
      </c>
      <c r="H41" s="98">
        <f t="shared" si="2"/>
        <v>4.5767213114754096E-2</v>
      </c>
      <c r="I41" s="194"/>
      <c r="J41" s="194"/>
      <c r="K41" s="194"/>
    </row>
    <row r="42" spans="2:11" ht="17.399999999999999" customHeight="1" x14ac:dyDescent="0.3">
      <c r="B42" s="322"/>
      <c r="C42" s="31" t="s">
        <v>1148</v>
      </c>
      <c r="D42" s="34">
        <f>Einstellungen!E45</f>
        <v>3330</v>
      </c>
      <c r="E42" s="150">
        <f>Einstellungen!H45</f>
        <v>1665</v>
      </c>
      <c r="F42" s="151">
        <f t="shared" si="0"/>
        <v>1.0685778038853904E-2</v>
      </c>
      <c r="G42" s="98">
        <f t="shared" si="1"/>
        <v>0.16651665166516652</v>
      </c>
      <c r="H42" s="98">
        <f t="shared" si="2"/>
        <v>1.5163934426229508</v>
      </c>
      <c r="I42" s="194"/>
      <c r="J42" s="194"/>
      <c r="K42" s="194"/>
    </row>
    <row r="43" spans="2:11" ht="17.399999999999999" customHeight="1" x14ac:dyDescent="0.3">
      <c r="B43" s="322"/>
      <c r="C43" s="31" t="s">
        <v>1146</v>
      </c>
      <c r="D43" s="34">
        <f>Einstellungen!E46</f>
        <v>11000</v>
      </c>
      <c r="E43" s="150">
        <f>Einstellungen!H46</f>
        <v>5500</v>
      </c>
      <c r="F43" s="151">
        <f t="shared" si="0"/>
        <v>3.5298365894111998E-2</v>
      </c>
      <c r="G43" s="98">
        <f t="shared" si="1"/>
        <v>0.55005500550055009</v>
      </c>
      <c r="H43" s="98">
        <f t="shared" si="2"/>
        <v>5.0091074681238617</v>
      </c>
      <c r="I43" s="194"/>
      <c r="J43" s="194"/>
      <c r="K43" s="194"/>
    </row>
    <row r="44" spans="2:11" ht="17.399999999999999" customHeight="1" x14ac:dyDescent="0.3">
      <c r="B44" s="322"/>
      <c r="C44" s="31" t="s">
        <v>1147</v>
      </c>
      <c r="D44" s="34">
        <f>Einstellungen!E47</f>
        <v>3469</v>
      </c>
      <c r="E44" s="150">
        <f>Einstellungen!H47</f>
        <v>1734.5</v>
      </c>
      <c r="F44" s="151">
        <f t="shared" si="0"/>
        <v>1.113182102606132E-2</v>
      </c>
      <c r="G44" s="98">
        <f t="shared" si="1"/>
        <v>0.17346734673467346</v>
      </c>
      <c r="H44" s="98">
        <f t="shared" si="2"/>
        <v>1.5796903460837888</v>
      </c>
      <c r="I44" s="194"/>
      <c r="J44" s="194"/>
      <c r="K44" s="194"/>
    </row>
    <row r="45" spans="2:11" ht="17.399999999999999" customHeight="1" x14ac:dyDescent="0.3">
      <c r="C45" t="s">
        <v>1461</v>
      </c>
      <c r="D45" s="74">
        <f>SUM(D24:D44)</f>
        <v>266341.33986319118</v>
      </c>
      <c r="E45" s="101">
        <f>SUM(E24:E25)+SUM(E29:E44)</f>
        <v>155814.5784</v>
      </c>
      <c r="F45" s="85">
        <f>SUM(F24:F44)</f>
        <v>1.0000000000000002</v>
      </c>
      <c r="G45" s="194"/>
      <c r="H45" s="194"/>
      <c r="I45" s="194"/>
      <c r="J45" s="194"/>
      <c r="K45" s="194"/>
    </row>
    <row r="46" spans="2:11" ht="17.399999999999999" customHeight="1" x14ac:dyDescent="0.3">
      <c r="C46" s="384"/>
      <c r="F46" s="74"/>
      <c r="G46" s="550"/>
      <c r="H46" s="551"/>
      <c r="I46" s="194"/>
      <c r="J46" s="194"/>
      <c r="K46" s="194"/>
    </row>
    <row r="47" spans="2:11" ht="17.399999999999999" customHeight="1" x14ac:dyDescent="0.3">
      <c r="C47" s="384"/>
      <c r="F47" s="74"/>
      <c r="G47" s="550"/>
      <c r="H47" s="551"/>
      <c r="I47" s="194"/>
      <c r="J47" s="194"/>
      <c r="K47" s="194"/>
    </row>
    <row r="48" spans="2:11" ht="17.399999999999999" customHeight="1" thickBot="1" x14ac:dyDescent="0.4">
      <c r="C48" s="3" t="s">
        <v>1478</v>
      </c>
      <c r="D48" s="3"/>
      <c r="F48" s="74"/>
      <c r="G48" s="550"/>
      <c r="H48" s="551"/>
      <c r="I48" s="194"/>
      <c r="J48" s="194"/>
      <c r="K48" s="194"/>
    </row>
    <row r="49" spans="2:11" ht="17.399999999999999" customHeight="1" thickTop="1" x14ac:dyDescent="0.3">
      <c r="C49" s="384"/>
      <c r="F49" s="74"/>
      <c r="G49" s="550"/>
      <c r="H49" s="551"/>
      <c r="I49" s="194"/>
      <c r="J49" s="194"/>
      <c r="K49" s="194"/>
    </row>
    <row r="50" spans="2:11" ht="17.399999999999999" customHeight="1" x14ac:dyDescent="0.3">
      <c r="C50" s="384"/>
      <c r="F50" s="74"/>
      <c r="G50" s="550"/>
      <c r="H50" s="551"/>
      <c r="I50" s="194"/>
      <c r="J50" s="194"/>
      <c r="K50" s="194"/>
    </row>
    <row r="51" spans="2:11" ht="17.399999999999999" customHeight="1" x14ac:dyDescent="0.35">
      <c r="B51" s="315"/>
      <c r="C51" s="548" t="s">
        <v>727</v>
      </c>
      <c r="D51" s="692" t="s">
        <v>1286</v>
      </c>
      <c r="E51" s="693"/>
      <c r="F51" s="691" t="s">
        <v>1453</v>
      </c>
      <c r="G51" s="691" t="s">
        <v>1454</v>
      </c>
      <c r="H51" s="194"/>
      <c r="I51" s="194"/>
      <c r="J51" s="194"/>
      <c r="K51" s="194"/>
    </row>
    <row r="52" spans="2:11" ht="17.399999999999999" customHeight="1" x14ac:dyDescent="0.3">
      <c r="B52" s="315"/>
      <c r="C52" s="31"/>
      <c r="D52" s="545" t="s">
        <v>1463</v>
      </c>
      <c r="E52" s="544" t="s">
        <v>1464</v>
      </c>
      <c r="F52" s="691"/>
      <c r="G52" s="691"/>
      <c r="H52" s="194"/>
      <c r="I52" s="194"/>
      <c r="J52" s="194"/>
      <c r="K52" s="194"/>
    </row>
    <row r="53" spans="2:11" ht="17.399999999999999" customHeight="1" x14ac:dyDescent="0.3">
      <c r="B53" s="315"/>
      <c r="C53" s="31" t="s">
        <v>1451</v>
      </c>
      <c r="D53" s="34">
        <f>Heizsystem!M51</f>
        <v>99900</v>
      </c>
      <c r="E53" s="150">
        <f>D53*VerbrauchsanteilSchuleWaerme</f>
        <v>49950</v>
      </c>
      <c r="F53" s="98">
        <f>E53/$D$12</f>
        <v>4.9954995499549959</v>
      </c>
      <c r="G53" s="98">
        <f>E53/$D$16</f>
        <v>45.491803278688522</v>
      </c>
      <c r="H53" s="194"/>
      <c r="I53" s="194"/>
      <c r="J53" s="194"/>
      <c r="K53" s="194"/>
    </row>
    <row r="54" spans="2:11" ht="17.399999999999999" customHeight="1" x14ac:dyDescent="0.3">
      <c r="B54" s="315"/>
      <c r="C54" s="31" t="s">
        <v>6</v>
      </c>
      <c r="D54" s="34">
        <f>Stromverbrauch!E26</f>
        <v>99999</v>
      </c>
      <c r="E54" s="150">
        <f>D54*VerbrauchsanteilSchuleStrom</f>
        <v>49999.5</v>
      </c>
      <c r="F54" s="98">
        <f>E54/$D$10</f>
        <v>5.0004500450045004</v>
      </c>
      <c r="G54" s="98">
        <f>E54/$D$16</f>
        <v>45.536885245901637</v>
      </c>
      <c r="H54" s="194"/>
      <c r="I54" s="194"/>
      <c r="J54" s="194"/>
      <c r="K54" s="194"/>
    </row>
    <row r="55" spans="2:11" ht="17.399999999999999" customHeight="1" x14ac:dyDescent="0.3">
      <c r="B55" s="315"/>
      <c r="C55" s="31" t="s">
        <v>7</v>
      </c>
      <c r="D55" s="34">
        <f>-PV!D65</f>
        <v>-90575.633873617699</v>
      </c>
      <c r="E55" s="150">
        <f>D55*VerbrauchsanteilSchulePV</f>
        <v>-45287.816936808849</v>
      </c>
      <c r="F55" s="98">
        <f>E55/$D$10</f>
        <v>-4.529234617142599</v>
      </c>
      <c r="G55" s="98">
        <f>E55/$D$16</f>
        <v>-41.245734915126455</v>
      </c>
      <c r="H55" s="194"/>
      <c r="I55" s="194"/>
      <c r="J55" s="194"/>
      <c r="K55" s="194"/>
    </row>
    <row r="56" spans="2:11" ht="17.399999999999999" customHeight="1" x14ac:dyDescent="0.3">
      <c r="F56" s="194"/>
      <c r="G56" s="194"/>
      <c r="H56" s="194"/>
      <c r="I56" s="194"/>
      <c r="J56" s="194"/>
      <c r="K56" s="194"/>
    </row>
    <row r="57" spans="2:11" ht="17.399999999999999" customHeight="1" x14ac:dyDescent="0.35">
      <c r="B57" s="320"/>
      <c r="C57" s="548" t="s">
        <v>728</v>
      </c>
      <c r="D57" s="692" t="s">
        <v>1467</v>
      </c>
      <c r="E57" s="693"/>
      <c r="F57" s="194"/>
      <c r="G57" s="194"/>
      <c r="H57" s="194"/>
      <c r="I57" s="194"/>
      <c r="J57" s="194"/>
      <c r="K57" s="194"/>
    </row>
    <row r="58" spans="2:11" ht="17.399999999999999" customHeight="1" x14ac:dyDescent="0.3">
      <c r="B58" s="320"/>
      <c r="C58" s="31" t="s">
        <v>1401</v>
      </c>
      <c r="D58" s="546">
        <f>Schulwege!I47</f>
        <v>8.2666666666666675</v>
      </c>
      <c r="E58" s="546" t="s">
        <v>1465</v>
      </c>
      <c r="F58" s="194"/>
      <c r="G58" s="194"/>
      <c r="H58" s="194"/>
      <c r="I58" s="194"/>
      <c r="J58" s="194"/>
      <c r="K58" s="194"/>
    </row>
    <row r="59" spans="2:11" ht="17.399999999999999" customHeight="1" x14ac:dyDescent="0.3">
      <c r="B59" s="320"/>
      <c r="C59" s="31" t="s">
        <v>1402</v>
      </c>
      <c r="D59" s="546">
        <f>Schulwege!I174</f>
        <v>11.833333333333334</v>
      </c>
      <c r="E59" s="546" t="s">
        <v>1465</v>
      </c>
      <c r="F59" s="194"/>
      <c r="G59" s="194"/>
      <c r="H59" s="194"/>
      <c r="I59" s="194"/>
      <c r="J59" s="194"/>
      <c r="K59" s="194"/>
    </row>
    <row r="60" spans="2:11" ht="17.399999999999999" customHeight="1" x14ac:dyDescent="0.3">
      <c r="F60" s="194"/>
      <c r="G60" s="194"/>
      <c r="H60" s="194"/>
      <c r="I60" s="194"/>
      <c r="J60" s="194"/>
      <c r="K60" s="194"/>
    </row>
    <row r="61" spans="2:11" ht="17.399999999999999" customHeight="1" x14ac:dyDescent="0.3">
      <c r="F61" s="194"/>
      <c r="G61" s="194"/>
      <c r="H61" s="194"/>
      <c r="I61" s="194"/>
      <c r="J61" s="194"/>
      <c r="K61" s="194"/>
    </row>
    <row r="62" spans="2:11" ht="17.399999999999999" customHeight="1" x14ac:dyDescent="0.35">
      <c r="B62" s="321"/>
      <c r="C62" s="548" t="s">
        <v>117</v>
      </c>
      <c r="D62" s="692" t="s">
        <v>1466</v>
      </c>
      <c r="E62" s="693"/>
      <c r="F62" s="194"/>
      <c r="G62" s="194"/>
      <c r="H62" s="194"/>
      <c r="I62" s="194"/>
      <c r="J62" s="194"/>
      <c r="K62" s="194"/>
    </row>
    <row r="63" spans="2:11" ht="17.399999999999999" customHeight="1" x14ac:dyDescent="0.35">
      <c r="B63" s="321"/>
      <c r="C63" s="543"/>
      <c r="D63" s="545" t="s">
        <v>1463</v>
      </c>
      <c r="E63" s="544" t="s">
        <v>1464</v>
      </c>
      <c r="F63" s="194"/>
      <c r="G63" s="194"/>
      <c r="H63" s="194"/>
      <c r="I63" s="194"/>
      <c r="J63" s="194"/>
      <c r="K63" s="194"/>
    </row>
    <row r="64" spans="2:11" ht="17.399999999999999" customHeight="1" x14ac:dyDescent="0.3">
      <c r="B64" s="321"/>
      <c r="C64" s="31" t="s">
        <v>1218</v>
      </c>
      <c r="D64" s="34">
        <f>Ernährung!$E$142*Ernährung!$E$143</f>
        <v>0</v>
      </c>
      <c r="E64" s="150">
        <f>D64*VerbrauchsanteilSchuleErnaehrung</f>
        <v>0</v>
      </c>
      <c r="F64" s="194"/>
      <c r="G64" s="194"/>
      <c r="H64" s="194"/>
      <c r="I64" s="194"/>
      <c r="J64" s="194"/>
      <c r="K64" s="194"/>
    </row>
    <row r="65" spans="1:11" ht="17.399999999999999" customHeight="1" x14ac:dyDescent="0.3">
      <c r="B65" s="321"/>
      <c r="C65" s="31" t="s">
        <v>1392</v>
      </c>
      <c r="D65" s="34">
        <f>SUM(Ernährung!E167:E176)*Ernährung!F178</f>
        <v>7326</v>
      </c>
      <c r="E65" s="150">
        <f>D65*VerbrauchsanteilSchuleSnacks</f>
        <v>3663</v>
      </c>
      <c r="F65" s="194"/>
      <c r="G65" s="194"/>
      <c r="H65" s="194"/>
      <c r="I65" s="194"/>
      <c r="J65" s="194"/>
      <c r="K65" s="194"/>
    </row>
    <row r="66" spans="1:11" ht="17.399999999999999" customHeight="1" x14ac:dyDescent="0.3">
      <c r="F66" s="194"/>
      <c r="G66" s="194"/>
      <c r="H66" s="194"/>
      <c r="I66" s="194"/>
      <c r="J66" s="194"/>
      <c r="K66" s="194"/>
    </row>
    <row r="67" spans="1:11" ht="17.399999999999999" customHeight="1" x14ac:dyDescent="0.35">
      <c r="B67" s="322"/>
      <c r="C67" s="548" t="s">
        <v>340</v>
      </c>
      <c r="D67" s="692" t="s">
        <v>1477</v>
      </c>
      <c r="E67" s="693"/>
      <c r="F67" s="194"/>
      <c r="G67" s="194"/>
      <c r="H67" s="194"/>
      <c r="I67" s="194"/>
      <c r="J67" s="194"/>
      <c r="K67" s="194"/>
    </row>
    <row r="68" spans="1:11" ht="17.399999999999999" customHeight="1" x14ac:dyDescent="0.35">
      <c r="B68" s="322"/>
      <c r="C68" s="543"/>
      <c r="D68" s="545" t="s">
        <v>1463</v>
      </c>
      <c r="E68" s="544" t="s">
        <v>1464</v>
      </c>
      <c r="F68" s="123" t="s">
        <v>46</v>
      </c>
      <c r="G68" s="183"/>
      <c r="H68" s="123" t="s">
        <v>1476</v>
      </c>
      <c r="I68" s="542"/>
      <c r="J68" s="183"/>
    </row>
    <row r="69" spans="1:11" ht="17.399999999999999" customHeight="1" x14ac:dyDescent="0.3">
      <c r="B69" s="322"/>
      <c r="C69" s="31" t="s">
        <v>960</v>
      </c>
      <c r="D69" s="34">
        <f>Beschaffung_1!E34+Beschaffung_1!E49+Beschaffung_1!E63+Beschaffung_1!E77</f>
        <v>9157.5</v>
      </c>
      <c r="E69" s="150">
        <f>D69*VerbrauchsanteilSchulePapier</f>
        <v>4578.75</v>
      </c>
      <c r="F69" s="123" t="s">
        <v>1475</v>
      </c>
      <c r="G69" s="183"/>
      <c r="H69" s="547">
        <f t="shared" ref="H69:H74" si="3">E69/$D$16</f>
        <v>4.1700819672131146</v>
      </c>
      <c r="I69" s="123" t="s">
        <v>1475</v>
      </c>
      <c r="J69" s="183"/>
    </row>
    <row r="70" spans="1:11" ht="17.399999999999999" customHeight="1" x14ac:dyDescent="0.3">
      <c r="B70" s="322"/>
      <c r="C70" s="31" t="s">
        <v>968</v>
      </c>
      <c r="D70" s="34">
        <f>Beschaffung_2!G27</f>
        <v>999.00000000000011</v>
      </c>
      <c r="E70" s="150">
        <f>D70*VerbrauchsanteilSchuleWasser</f>
        <v>499.50000000000006</v>
      </c>
      <c r="F70" s="123" t="s">
        <v>1469</v>
      </c>
      <c r="G70" s="183"/>
      <c r="H70" s="547">
        <f t="shared" si="3"/>
        <v>0.45491803278688531</v>
      </c>
      <c r="I70" s="123" t="s">
        <v>1469</v>
      </c>
      <c r="J70" s="183"/>
    </row>
    <row r="71" spans="1:11" ht="17.399999999999999" customHeight="1" x14ac:dyDescent="0.3">
      <c r="B71" s="322"/>
      <c r="C71" s="31" t="s">
        <v>1054</v>
      </c>
      <c r="D71" s="34">
        <f>Beschaffung_2!G44</f>
        <v>17820</v>
      </c>
      <c r="E71" s="150">
        <f>D71*VerbrauchsanteilSchuleRestmüll</f>
        <v>8910</v>
      </c>
      <c r="F71" s="123" t="s">
        <v>1474</v>
      </c>
      <c r="G71" s="183"/>
      <c r="H71" s="547">
        <f t="shared" si="3"/>
        <v>8.1147540983606561</v>
      </c>
      <c r="I71" s="123" t="s">
        <v>1474</v>
      </c>
      <c r="J71" s="183"/>
    </row>
    <row r="72" spans="1:11" ht="17.399999999999999" customHeight="1" x14ac:dyDescent="0.3">
      <c r="B72" s="322"/>
      <c r="C72" s="31" t="s">
        <v>1148</v>
      </c>
      <c r="D72" s="34">
        <f>Beschaffung_2!G107</f>
        <v>1665</v>
      </c>
      <c r="E72" s="150">
        <f>D72*VerbrauchsanteilSchuleSchulbücher</f>
        <v>832.5</v>
      </c>
      <c r="F72" s="123" t="s">
        <v>1471</v>
      </c>
      <c r="G72" s="183"/>
      <c r="H72" s="547">
        <f t="shared" si="3"/>
        <v>0.75819672131147542</v>
      </c>
      <c r="I72" s="123" t="s">
        <v>1471</v>
      </c>
      <c r="J72" s="183"/>
    </row>
    <row r="73" spans="1:11" ht="17.399999999999999" customHeight="1" x14ac:dyDescent="0.3">
      <c r="B73" s="322"/>
      <c r="C73" s="31" t="s">
        <v>1146</v>
      </c>
      <c r="D73" s="34">
        <f>Beschaffung_2!G56</f>
        <v>220</v>
      </c>
      <c r="E73" s="150">
        <f>D73*VerbrauchsanteilSchuleMöbel</f>
        <v>110</v>
      </c>
      <c r="F73" s="123" t="s">
        <v>1472</v>
      </c>
      <c r="G73" s="183"/>
      <c r="H73" s="547">
        <f t="shared" si="3"/>
        <v>0.10018214936247723</v>
      </c>
      <c r="I73" s="123" t="s">
        <v>1472</v>
      </c>
      <c r="J73" s="183"/>
    </row>
    <row r="74" spans="1:11" ht="17.399999999999999" customHeight="1" x14ac:dyDescent="0.3">
      <c r="B74" s="322"/>
      <c r="C74" s="31" t="s">
        <v>1147</v>
      </c>
      <c r="D74" s="34">
        <f>IF(Beschaffung_2!G68&lt;&gt;"",Beschaffung_2!G68,0)+IF(Beschaffung_2!G76&lt;&gt;"",Beschaffung_2!G76,0)+IF(Beschaffung_2!G84&lt;&gt;"",Beschaffung_2!G84,0)</f>
        <v>10</v>
      </c>
      <c r="E74" s="150">
        <f>D74*VerbrauchsanteilSchuleIT</f>
        <v>5</v>
      </c>
      <c r="F74" s="123" t="s">
        <v>1473</v>
      </c>
      <c r="G74" s="183"/>
      <c r="H74" s="547">
        <f t="shared" si="3"/>
        <v>4.5537340619307837E-3</v>
      </c>
      <c r="I74" s="123" t="s">
        <v>1473</v>
      </c>
      <c r="J74" s="183"/>
    </row>
    <row r="75" spans="1:11" ht="17.399999999999999" customHeight="1" x14ac:dyDescent="0.3">
      <c r="A75" s="194"/>
      <c r="B75" s="194"/>
      <c r="C75" s="194"/>
      <c r="D75" s="194"/>
      <c r="E75" s="194"/>
      <c r="F75" s="194"/>
      <c r="G75" s="194"/>
      <c r="H75" s="194"/>
      <c r="I75" s="194"/>
      <c r="J75" s="194"/>
      <c r="K75" s="194"/>
    </row>
    <row r="76" spans="1:11" ht="17.399999999999999" customHeight="1" thickBot="1" x14ac:dyDescent="0.4">
      <c r="A76" s="194"/>
      <c r="B76" s="194"/>
      <c r="C76" s="3" t="s">
        <v>1480</v>
      </c>
      <c r="D76" s="3"/>
      <c r="E76" s="194"/>
      <c r="F76" s="194"/>
      <c r="G76" s="194"/>
      <c r="H76" s="194"/>
      <c r="I76" s="194"/>
      <c r="J76" s="194"/>
      <c r="K76" s="194"/>
    </row>
    <row r="77" spans="1:11" ht="17.399999999999999" customHeight="1" thickTop="1" x14ac:dyDescent="0.3">
      <c r="A77" s="194"/>
      <c r="B77" s="194"/>
      <c r="C77" s="194"/>
      <c r="D77" s="194"/>
      <c r="E77" s="194"/>
      <c r="F77" s="194"/>
      <c r="G77" s="194"/>
      <c r="H77" s="194"/>
      <c r="I77" s="194"/>
      <c r="J77" s="194"/>
      <c r="K77" s="194"/>
    </row>
    <row r="78" spans="1:11" ht="17.399999999999999" customHeight="1" x14ac:dyDescent="0.3">
      <c r="A78" s="194"/>
      <c r="B78" s="194"/>
      <c r="C78" s="194"/>
      <c r="D78" s="194"/>
      <c r="E78" s="194"/>
      <c r="F78" s="194"/>
      <c r="G78" s="194"/>
      <c r="H78" s="194"/>
      <c r="I78" s="194"/>
      <c r="J78" s="194"/>
      <c r="K78" s="194"/>
    </row>
    <row r="79" spans="1:11" ht="17.399999999999999" customHeight="1" x14ac:dyDescent="0.3">
      <c r="A79" s="194"/>
      <c r="B79" s="194"/>
      <c r="C79" s="194"/>
      <c r="D79" s="194"/>
      <c r="E79" s="194"/>
      <c r="F79" s="194"/>
      <c r="G79" s="194"/>
      <c r="H79" s="194"/>
      <c r="I79" s="194"/>
      <c r="J79" s="194"/>
      <c r="K79" s="194"/>
    </row>
    <row r="80" spans="1:11" ht="17.399999999999999" customHeight="1" x14ac:dyDescent="0.3">
      <c r="A80" s="194"/>
      <c r="B80" s="194"/>
      <c r="C80" s="194"/>
      <c r="D80" s="194"/>
      <c r="E80" s="194"/>
      <c r="F80" s="194"/>
      <c r="G80" s="194"/>
      <c r="H80" s="194"/>
      <c r="I80" s="194"/>
      <c r="J80" s="194"/>
      <c r="K80" s="194"/>
    </row>
    <row r="81" spans="1:11" ht="17.399999999999999" customHeight="1" x14ac:dyDescent="0.3">
      <c r="A81" s="194"/>
      <c r="B81" s="194"/>
      <c r="C81" s="194"/>
      <c r="D81" s="194"/>
      <c r="E81" s="194"/>
      <c r="F81" s="194"/>
      <c r="G81" s="194"/>
      <c r="H81" s="194"/>
      <c r="I81" s="194"/>
      <c r="J81" s="194"/>
      <c r="K81" s="194"/>
    </row>
    <row r="82" spans="1:11" ht="17.399999999999999" customHeight="1" x14ac:dyDescent="0.3">
      <c r="A82" s="194"/>
      <c r="B82" s="194"/>
      <c r="C82" s="194"/>
      <c r="D82" s="194"/>
      <c r="E82" s="194"/>
      <c r="F82" s="194"/>
      <c r="G82" s="194"/>
      <c r="H82" s="194"/>
      <c r="I82" s="194"/>
      <c r="J82" s="194"/>
      <c r="K82" s="194"/>
    </row>
    <row r="83" spans="1:11" ht="17.399999999999999" customHeight="1" x14ac:dyDescent="0.3">
      <c r="A83" s="194"/>
      <c r="B83" s="194"/>
      <c r="C83" s="194"/>
      <c r="D83" s="194"/>
      <c r="E83" s="194"/>
      <c r="F83" s="194"/>
      <c r="G83" s="194"/>
      <c r="H83" s="194"/>
      <c r="I83" s="194"/>
      <c r="J83" s="194"/>
      <c r="K83" s="194"/>
    </row>
    <row r="84" spans="1:11" ht="17.399999999999999" customHeight="1" x14ac:dyDescent="0.3">
      <c r="A84" s="194"/>
      <c r="B84" s="194"/>
      <c r="C84" s="194"/>
      <c r="D84" s="194"/>
      <c r="E84" s="194"/>
      <c r="F84" s="194"/>
      <c r="G84" s="194"/>
      <c r="H84" s="194"/>
      <c r="I84" s="194"/>
      <c r="J84" s="194"/>
      <c r="K84" s="194"/>
    </row>
    <row r="85" spans="1:11" ht="17.399999999999999" customHeight="1" x14ac:dyDescent="0.3">
      <c r="A85" s="194"/>
      <c r="B85" s="194"/>
      <c r="C85" s="194"/>
      <c r="D85" s="194"/>
      <c r="E85" s="194"/>
      <c r="F85" s="194"/>
      <c r="G85" s="194"/>
      <c r="H85" s="194"/>
      <c r="I85" s="194"/>
      <c r="J85" s="194"/>
      <c r="K85" s="194"/>
    </row>
    <row r="86" spans="1:11" ht="17.399999999999999" customHeight="1" x14ac:dyDescent="0.3">
      <c r="A86" s="194"/>
      <c r="B86" s="194"/>
      <c r="C86" s="194"/>
      <c r="D86" s="194"/>
      <c r="E86" s="194"/>
      <c r="F86" s="194"/>
      <c r="G86" s="194"/>
      <c r="H86" s="194"/>
      <c r="I86" s="194"/>
      <c r="J86" s="194"/>
      <c r="K86" s="194"/>
    </row>
    <row r="87" spans="1:11" ht="17.399999999999999" customHeight="1" x14ac:dyDescent="0.3">
      <c r="A87" s="194"/>
      <c r="B87" s="194"/>
      <c r="C87" s="194"/>
      <c r="D87" s="194"/>
      <c r="E87" s="194"/>
      <c r="F87" s="194"/>
      <c r="G87" s="194"/>
      <c r="H87" s="194"/>
      <c r="I87" s="194"/>
      <c r="J87" s="194"/>
      <c r="K87" s="194"/>
    </row>
    <row r="88" spans="1:11" ht="17.399999999999999" customHeight="1" x14ac:dyDescent="0.3">
      <c r="A88" s="194"/>
      <c r="B88" s="194"/>
      <c r="C88" s="194"/>
      <c r="D88" s="194"/>
      <c r="E88" s="194"/>
      <c r="F88" s="194"/>
      <c r="G88" s="194"/>
      <c r="H88" s="194"/>
      <c r="I88" s="194"/>
      <c r="J88" s="194"/>
      <c r="K88" s="194"/>
    </row>
    <row r="89" spans="1:11" ht="17.399999999999999" customHeight="1" x14ac:dyDescent="0.3">
      <c r="A89" s="194"/>
      <c r="B89" s="194"/>
      <c r="C89" s="194"/>
      <c r="D89" s="194"/>
      <c r="E89" s="194"/>
      <c r="F89" s="194"/>
      <c r="G89" s="194"/>
      <c r="H89" s="194"/>
      <c r="I89" s="194"/>
      <c r="J89" s="194"/>
      <c r="K89" s="194"/>
    </row>
    <row r="90" spans="1:11" ht="17.399999999999999" customHeight="1" x14ac:dyDescent="0.3">
      <c r="A90" s="194"/>
      <c r="B90" s="194"/>
      <c r="C90" s="194"/>
      <c r="D90" s="194"/>
      <c r="E90" s="194"/>
      <c r="F90" s="194"/>
      <c r="G90" s="194"/>
      <c r="H90" s="194"/>
      <c r="I90" s="194"/>
      <c r="J90" s="194"/>
      <c r="K90" s="194"/>
    </row>
    <row r="91" spans="1:11" ht="17.399999999999999" customHeight="1" x14ac:dyDescent="0.3">
      <c r="A91" s="194"/>
      <c r="B91" s="194"/>
      <c r="C91" s="194"/>
      <c r="D91" s="194"/>
      <c r="E91" s="194"/>
      <c r="F91" s="194"/>
      <c r="G91" s="194"/>
      <c r="H91" s="194"/>
      <c r="I91" s="194"/>
      <c r="J91" s="194"/>
      <c r="K91" s="194"/>
    </row>
    <row r="92" spans="1:11" ht="17.399999999999999" customHeight="1" x14ac:dyDescent="0.3">
      <c r="A92" s="194"/>
      <c r="B92" s="194"/>
      <c r="C92" s="194"/>
      <c r="D92" s="194"/>
      <c r="E92" s="194"/>
      <c r="F92" s="194"/>
      <c r="G92" s="194"/>
      <c r="H92" s="194"/>
      <c r="I92" s="194"/>
      <c r="J92" s="194"/>
      <c r="K92" s="194"/>
    </row>
    <row r="93" spans="1:11" ht="17.399999999999999" customHeight="1" x14ac:dyDescent="0.3">
      <c r="A93" s="194"/>
      <c r="B93" s="194"/>
      <c r="C93" s="194"/>
      <c r="D93" s="194"/>
      <c r="E93" s="194"/>
      <c r="F93" s="194"/>
      <c r="G93" s="194"/>
      <c r="H93" s="194"/>
      <c r="I93" s="194"/>
      <c r="J93" s="194"/>
      <c r="K93" s="194"/>
    </row>
    <row r="94" spans="1:11" ht="17.399999999999999" customHeight="1" x14ac:dyDescent="0.3">
      <c r="A94" s="194"/>
      <c r="B94" s="194"/>
      <c r="C94" s="194"/>
      <c r="D94" s="194"/>
      <c r="E94" s="194"/>
      <c r="F94" s="194"/>
      <c r="G94" s="194"/>
      <c r="H94" s="194"/>
      <c r="I94" s="194"/>
      <c r="J94" s="194"/>
      <c r="K94" s="194"/>
    </row>
    <row r="95" spans="1:11" ht="17.399999999999999" customHeight="1" x14ac:dyDescent="0.3">
      <c r="A95" s="194"/>
      <c r="B95" s="194"/>
      <c r="C95" s="194"/>
      <c r="D95" s="194"/>
      <c r="E95" s="194"/>
      <c r="F95" s="194"/>
      <c r="G95" s="194"/>
      <c r="H95" s="194"/>
      <c r="I95" s="194"/>
      <c r="J95" s="194"/>
      <c r="K95" s="194"/>
    </row>
    <row r="96" spans="1:11" ht="17.399999999999999" customHeight="1" x14ac:dyDescent="0.3">
      <c r="A96" s="194"/>
      <c r="B96" s="194"/>
      <c r="C96" s="194"/>
      <c r="D96" s="194"/>
      <c r="E96" s="194"/>
      <c r="F96" s="194"/>
      <c r="G96" s="194"/>
      <c r="H96" s="194"/>
      <c r="I96" s="194"/>
      <c r="J96" s="194"/>
      <c r="K96" s="194"/>
    </row>
    <row r="97" spans="1:11" ht="17.399999999999999" customHeight="1" x14ac:dyDescent="0.3">
      <c r="A97" s="194"/>
      <c r="B97" s="194"/>
      <c r="C97" s="194"/>
      <c r="D97" s="194"/>
      <c r="E97" s="194"/>
      <c r="F97" s="194"/>
      <c r="G97" s="194"/>
      <c r="H97" s="194"/>
      <c r="I97" s="194"/>
      <c r="J97" s="194"/>
      <c r="K97" s="194"/>
    </row>
    <row r="98" spans="1:11" ht="17.399999999999999" customHeight="1" x14ac:dyDescent="0.3">
      <c r="A98" s="194"/>
      <c r="B98" s="194"/>
      <c r="C98" s="194"/>
      <c r="D98" s="194"/>
      <c r="E98" s="194"/>
      <c r="F98" s="194"/>
      <c r="G98" s="194"/>
      <c r="H98" s="194"/>
      <c r="I98" s="194"/>
      <c r="J98" s="194"/>
      <c r="K98" s="194"/>
    </row>
    <row r="99" spans="1:11" ht="17.399999999999999" customHeight="1" x14ac:dyDescent="0.3">
      <c r="A99" s="194"/>
      <c r="B99" s="194"/>
      <c r="C99" s="194"/>
      <c r="D99" s="194"/>
      <c r="E99" s="194"/>
      <c r="F99" s="194"/>
      <c r="G99" s="194"/>
      <c r="H99" s="194"/>
      <c r="I99" s="194"/>
      <c r="J99" s="194"/>
      <c r="K99" s="194"/>
    </row>
    <row r="100" spans="1:11" ht="17.399999999999999" customHeight="1" x14ac:dyDescent="0.3">
      <c r="A100" s="194"/>
      <c r="B100" s="194"/>
      <c r="C100" s="194"/>
      <c r="D100" s="194"/>
      <c r="E100" s="194"/>
      <c r="F100" s="194"/>
      <c r="G100" s="194"/>
      <c r="H100" s="194"/>
      <c r="I100" s="194"/>
      <c r="J100" s="194"/>
      <c r="K100" s="194"/>
    </row>
    <row r="101" spans="1:11" ht="17.399999999999999" customHeight="1" x14ac:dyDescent="0.3">
      <c r="A101" s="194"/>
      <c r="B101" s="194"/>
      <c r="C101" s="194"/>
      <c r="D101" s="194"/>
      <c r="E101" s="194"/>
      <c r="F101" s="194"/>
      <c r="G101" s="194"/>
      <c r="H101" s="194"/>
      <c r="I101" s="194"/>
      <c r="J101" s="194"/>
      <c r="K101" s="194"/>
    </row>
    <row r="102" spans="1:11" ht="14.4" hidden="1" x14ac:dyDescent="0.3"/>
    <row r="103" spans="1:11" ht="14.4" hidden="1" x14ac:dyDescent="0.3"/>
    <row r="104" spans="1:11" ht="14.4" hidden="1" x14ac:dyDescent="0.3"/>
    <row r="105" spans="1:11" ht="14.4" hidden="1" x14ac:dyDescent="0.3"/>
    <row r="106" spans="1:11" ht="14.4" hidden="1" x14ac:dyDescent="0.3"/>
    <row r="107" spans="1:11" ht="14.4" hidden="1" x14ac:dyDescent="0.3"/>
    <row r="108" spans="1:11" ht="14.4" hidden="1" x14ac:dyDescent="0.3"/>
    <row r="109" spans="1:11" ht="14.4" hidden="1" x14ac:dyDescent="0.3"/>
    <row r="110" spans="1:11" ht="14.4" hidden="1" x14ac:dyDescent="0.3"/>
    <row r="111" spans="1:11" ht="14.4" hidden="1" x14ac:dyDescent="0.3"/>
    <row r="112" spans="1:11"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4.4" hidden="1" x14ac:dyDescent="0.3"/>
    <row r="126" ht="14.4" hidden="1" x14ac:dyDescent="0.3"/>
    <row r="127" ht="14.4" hidden="1" x14ac:dyDescent="0.3"/>
    <row r="128" ht="14.4" hidden="1" x14ac:dyDescent="0.3"/>
    <row r="129" ht="14.4" hidden="1" x14ac:dyDescent="0.3"/>
    <row r="130" ht="14.4" hidden="1" x14ac:dyDescent="0.3"/>
    <row r="131" ht="14.4" hidden="1" x14ac:dyDescent="0.3"/>
    <row r="132" ht="14.4" hidden="1" x14ac:dyDescent="0.3"/>
    <row r="133" ht="14.4" hidden="1" x14ac:dyDescent="0.3"/>
    <row r="134" ht="14.4" hidden="1" x14ac:dyDescent="0.3"/>
    <row r="135" ht="13.8" hidden="1" customHeight="1" x14ac:dyDescent="0.3"/>
    <row r="136" ht="14.4" hidden="1" x14ac:dyDescent="0.3"/>
    <row r="137" ht="14.4" hidden="1" x14ac:dyDescent="0.3"/>
    <row r="138" ht="14.4" hidden="1" x14ac:dyDescent="0.3"/>
    <row r="139" ht="14.4" hidden="1" x14ac:dyDescent="0.3"/>
    <row r="140" ht="14.4" hidden="1" x14ac:dyDescent="0.3"/>
    <row r="141" ht="14.4" hidden="1" x14ac:dyDescent="0.3"/>
    <row r="142" ht="14.4" hidden="1" x14ac:dyDescent="0.3"/>
    <row r="143" ht="14.4" hidden="1" x14ac:dyDescent="0.3"/>
    <row r="144" ht="14.4" hidden="1" x14ac:dyDescent="0.3"/>
    <row r="145" ht="14.4" hidden="1" x14ac:dyDescent="0.3"/>
    <row r="146" ht="14.4" hidden="1" x14ac:dyDescent="0.3"/>
    <row r="147" ht="14.4" hidden="1" x14ac:dyDescent="0.3"/>
    <row r="148" ht="14.4" hidden="1" x14ac:dyDescent="0.3"/>
    <row r="149" ht="14.4" hidden="1" x14ac:dyDescent="0.3"/>
    <row r="150" ht="14.4" hidden="1" x14ac:dyDescent="0.3"/>
    <row r="151" ht="14.4" hidden="1" x14ac:dyDescent="0.3"/>
    <row r="152" ht="14.4" hidden="1" x14ac:dyDescent="0.3"/>
    <row r="153" ht="14.4" hidden="1" x14ac:dyDescent="0.3"/>
    <row r="154" ht="14.4" hidden="1" x14ac:dyDescent="0.3"/>
    <row r="155" ht="14.4" hidden="1" x14ac:dyDescent="0.3"/>
    <row r="156" ht="14.4" hidden="1" x14ac:dyDescent="0.3"/>
    <row r="157" ht="14.4" hidden="1" x14ac:dyDescent="0.3"/>
    <row r="158" ht="14.4" hidden="1" x14ac:dyDescent="0.3"/>
    <row r="159" ht="14.4" hidden="1" x14ac:dyDescent="0.3"/>
    <row r="160" ht="38.4" hidden="1" customHeight="1" x14ac:dyDescent="0.3"/>
    <row r="161" ht="14.4" hidden="1" x14ac:dyDescent="0.3"/>
    <row r="162" ht="14.4" hidden="1" x14ac:dyDescent="0.3"/>
    <row r="163" ht="14.4" hidden="1" x14ac:dyDescent="0.3"/>
    <row r="164" ht="14.4" hidden="1" x14ac:dyDescent="0.3"/>
    <row r="165" ht="14.4" hidden="1" x14ac:dyDescent="0.3"/>
    <row r="166" ht="14.4" hidden="1" x14ac:dyDescent="0.3"/>
    <row r="167" ht="14.4" hidden="1" x14ac:dyDescent="0.3"/>
    <row r="168" ht="14.4" hidden="1" x14ac:dyDescent="0.3"/>
    <row r="169" ht="14.4" hidden="1" x14ac:dyDescent="0.3"/>
    <row r="170" ht="14.4" hidden="1" x14ac:dyDescent="0.3"/>
    <row r="171" ht="15" hidden="1" customHeight="1" x14ac:dyDescent="0.3"/>
    <row r="172" ht="22.8" hidden="1" customHeight="1" x14ac:dyDescent="0.3"/>
    <row r="173" ht="22.8" hidden="1" customHeight="1" x14ac:dyDescent="0.3"/>
    <row r="174" ht="14.4" hidden="1" x14ac:dyDescent="0.3"/>
    <row r="175" ht="14.4" hidden="1" x14ac:dyDescent="0.3"/>
    <row r="176" ht="14.4" hidden="1" x14ac:dyDescent="0.3"/>
    <row r="177" ht="14.4" hidden="1" x14ac:dyDescent="0.3"/>
    <row r="178" ht="14.4" hidden="1" x14ac:dyDescent="0.3"/>
    <row r="179" ht="14.4" hidden="1" x14ac:dyDescent="0.3"/>
    <row r="180" ht="14.4" hidden="1" x14ac:dyDescent="0.3"/>
    <row r="181" ht="14.4" hidden="1" x14ac:dyDescent="0.3"/>
    <row r="182" ht="14.4" hidden="1" x14ac:dyDescent="0.3"/>
    <row r="183" ht="14.4" hidden="1" x14ac:dyDescent="0.3"/>
    <row r="184" ht="14.4" hidden="1" customHeight="1" x14ac:dyDescent="0.3"/>
    <row r="185" ht="14.4" hidden="1" customHeight="1" x14ac:dyDescent="0.3"/>
    <row r="186" ht="14.4" hidden="1" customHeight="1" x14ac:dyDescent="0.3"/>
    <row r="187" ht="14.4" hidden="1" customHeight="1" x14ac:dyDescent="0.3"/>
    <row r="188" ht="14.4" hidden="1" customHeight="1" x14ac:dyDescent="0.3"/>
    <row r="189" ht="14.4" hidden="1" customHeight="1" x14ac:dyDescent="0.3"/>
    <row r="190" ht="14.4" hidden="1" customHeight="1" x14ac:dyDescent="0.3"/>
    <row r="191" ht="14.4" hidden="1" x14ac:dyDescent="0.3"/>
    <row r="192" ht="14.4" hidden="1" x14ac:dyDescent="0.3"/>
    <row r="193" ht="14.4" hidden="1" x14ac:dyDescent="0.3"/>
    <row r="194" ht="14.4" hidden="1" x14ac:dyDescent="0.3"/>
    <row r="195" ht="14.4" hidden="1" x14ac:dyDescent="0.3"/>
    <row r="196" ht="14.4" hidden="1" x14ac:dyDescent="0.3"/>
    <row r="197" ht="14.4" hidden="1" x14ac:dyDescent="0.3"/>
    <row r="198" ht="14.4" hidden="1" x14ac:dyDescent="0.3"/>
    <row r="199" ht="14.4" hidden="1" x14ac:dyDescent="0.3"/>
    <row r="200" ht="14.4" hidden="1" x14ac:dyDescent="0.3"/>
    <row r="201" ht="14.4" hidden="1" x14ac:dyDescent="0.3"/>
    <row r="202" ht="14.4" hidden="1" x14ac:dyDescent="0.3"/>
    <row r="203" ht="14.4" hidden="1" x14ac:dyDescent="0.3"/>
    <row r="204" ht="14.4" hidden="1" x14ac:dyDescent="0.3"/>
    <row r="205" ht="14.4" hidden="1" x14ac:dyDescent="0.3"/>
    <row r="206" ht="14.4" hidden="1" x14ac:dyDescent="0.3"/>
    <row r="207" ht="14.4" hidden="1" x14ac:dyDescent="0.3"/>
    <row r="208" ht="14.4" hidden="1" x14ac:dyDescent="0.3"/>
    <row r="209" ht="14.4" hidden="1" x14ac:dyDescent="0.3"/>
    <row r="210" ht="14.4" hidden="1" x14ac:dyDescent="0.3"/>
    <row r="211" ht="14.4" hidden="1" x14ac:dyDescent="0.3"/>
    <row r="212" ht="14.4" hidden="1" x14ac:dyDescent="0.3"/>
    <row r="213" ht="14.4" hidden="1" x14ac:dyDescent="0.3"/>
    <row r="214" ht="14.4" hidden="1" x14ac:dyDescent="0.3"/>
    <row r="215" ht="14.4" hidden="1" x14ac:dyDescent="0.3"/>
    <row r="216" ht="14.4" hidden="1" x14ac:dyDescent="0.3"/>
    <row r="217" ht="14.4" hidden="1" x14ac:dyDescent="0.3"/>
    <row r="218" ht="14.4" hidden="1" x14ac:dyDescent="0.3"/>
    <row r="219" ht="14.4" hidden="1" x14ac:dyDescent="0.3"/>
    <row r="220" ht="14.4" hidden="1" x14ac:dyDescent="0.3"/>
    <row r="221" ht="14.4" hidden="1" x14ac:dyDescent="0.3"/>
    <row r="222" ht="14.4" hidden="1" x14ac:dyDescent="0.3"/>
    <row r="223" ht="14.4" hidden="1" x14ac:dyDescent="0.3"/>
    <row r="224" ht="14.4" hidden="1" x14ac:dyDescent="0.3"/>
    <row r="225" ht="14.4" hidden="1" x14ac:dyDescent="0.3"/>
    <row r="226" ht="14.4" hidden="1" x14ac:dyDescent="0.3"/>
    <row r="227" ht="14.4" hidden="1" x14ac:dyDescent="0.3"/>
    <row r="228" ht="14.4" hidden="1" x14ac:dyDescent="0.3"/>
    <row r="229" ht="14.4" hidden="1" x14ac:dyDescent="0.3"/>
    <row r="230" ht="14.4" hidden="1" x14ac:dyDescent="0.3"/>
    <row r="231" ht="14.4" hidden="1" x14ac:dyDescent="0.3"/>
    <row r="232" ht="14.4" hidden="1" x14ac:dyDescent="0.3"/>
    <row r="233" ht="14.4" hidden="1" x14ac:dyDescent="0.3"/>
    <row r="234" ht="14.4" hidden="1" x14ac:dyDescent="0.3"/>
    <row r="235" ht="14.4" hidden="1" x14ac:dyDescent="0.3"/>
    <row r="236" ht="14.4" hidden="1" x14ac:dyDescent="0.3"/>
    <row r="237" ht="14.4" hidden="1" x14ac:dyDescent="0.3"/>
    <row r="238" ht="14.4" hidden="1" x14ac:dyDescent="0.3"/>
    <row r="239" ht="14.4" hidden="1" x14ac:dyDescent="0.3"/>
    <row r="240" ht="14.4" hidden="1" x14ac:dyDescent="0.3"/>
    <row r="241" ht="14.4" hidden="1" x14ac:dyDescent="0.3"/>
    <row r="242" ht="14.4" hidden="1" x14ac:dyDescent="0.3"/>
    <row r="243" ht="14.4" hidden="1" x14ac:dyDescent="0.3"/>
    <row r="244" ht="14.4" hidden="1" x14ac:dyDescent="0.3"/>
    <row r="245" ht="14.4" hidden="1" x14ac:dyDescent="0.3"/>
    <row r="246" ht="14.4" hidden="1" x14ac:dyDescent="0.3"/>
    <row r="247" ht="14.4" hidden="1" x14ac:dyDescent="0.3"/>
    <row r="248" ht="14.4" hidden="1" x14ac:dyDescent="0.3"/>
    <row r="249" ht="14.4" hidden="1" x14ac:dyDescent="0.3"/>
    <row r="250" ht="14.4" hidden="1" x14ac:dyDescent="0.3"/>
    <row r="251" ht="14.4" hidden="1" x14ac:dyDescent="0.3"/>
    <row r="252" ht="14.4" hidden="1" customHeight="1" x14ac:dyDescent="0.3"/>
    <row r="253" ht="14.4" hidden="1" customHeight="1" x14ac:dyDescent="0.3"/>
    <row r="254" ht="14.4" hidden="1" customHeight="1" x14ac:dyDescent="0.3"/>
    <row r="255" ht="14.4" hidden="1" customHeight="1" x14ac:dyDescent="0.3"/>
    <row r="256" ht="14.4" hidden="1" customHeight="1" x14ac:dyDescent="0.3"/>
    <row r="257" ht="14.4" hidden="1" customHeight="1" x14ac:dyDescent="0.3"/>
    <row r="258" ht="14.4" hidden="1" customHeight="1" x14ac:dyDescent="0.3"/>
    <row r="259" ht="14.4" hidden="1" customHeight="1" x14ac:dyDescent="0.3"/>
    <row r="260" ht="14.4" hidden="1" customHeight="1" x14ac:dyDescent="0.3"/>
    <row r="261" ht="14.4" hidden="1" customHeight="1" x14ac:dyDescent="0.3"/>
    <row r="262" ht="14.4" hidden="1" customHeight="1" x14ac:dyDescent="0.3"/>
    <row r="263" ht="14.4" hidden="1" customHeight="1" x14ac:dyDescent="0.3"/>
    <row r="264" ht="14.4" hidden="1" customHeight="1" x14ac:dyDescent="0.3"/>
    <row r="265" ht="14.4" hidden="1" customHeight="1" x14ac:dyDescent="0.3"/>
    <row r="266" ht="14.4" hidden="1" customHeight="1" x14ac:dyDescent="0.3"/>
    <row r="267" ht="14.4" hidden="1" customHeight="1" x14ac:dyDescent="0.3"/>
    <row r="268" ht="14.4" hidden="1" customHeight="1" x14ac:dyDescent="0.3"/>
    <row r="269" ht="14.4" hidden="1" customHeight="1" x14ac:dyDescent="0.3"/>
    <row r="270" ht="14.4" hidden="1" customHeight="1" x14ac:dyDescent="0.3"/>
    <row r="271" ht="14.4" hidden="1" customHeight="1" x14ac:dyDescent="0.3"/>
    <row r="272" ht="14.4" hidden="1" customHeight="1" x14ac:dyDescent="0.3"/>
  </sheetData>
  <sheetProtection algorithmName="SHA-512" hashValue="YppNX6e0bIuTmHjPIGo3qnKLkq7unCbHBeq7Pu7qsaCK30xSoXSvaxx1IA1mra3PQe0GGtvQScRJ4GWd1jt8DA==" saltValue="2o3KJlVE1y4PDgJmkzgWJw==" spinCount="100000" sheet="1" objects="1" scenarios="1"/>
  <mergeCells count="11">
    <mergeCell ref="C20:I20"/>
    <mergeCell ref="H22:H23"/>
    <mergeCell ref="D62:E62"/>
    <mergeCell ref="D57:E57"/>
    <mergeCell ref="D67:E67"/>
    <mergeCell ref="D22:E22"/>
    <mergeCell ref="F22:F23"/>
    <mergeCell ref="F51:F52"/>
    <mergeCell ref="G51:G52"/>
    <mergeCell ref="G22:G23"/>
    <mergeCell ref="D51:E51"/>
  </mergeCells>
  <hyperlinks>
    <hyperlink ref="A5" location="Inhalt!A1" display="&lt;= Start"/>
    <hyperlink ref="G111" r:id="rId1" display="http://iinas.org/tl_files/iinas/downloads/GEMIS/2007_thg_fossil_BGW.pdf"/>
    <hyperlink ref="G113" r:id="rId2" display="http://iinas.org/tl_files/iinas/downloads/GEMIS/2007_thg_fossil_BGW.pdf"/>
    <hyperlink ref="G121" r:id="rId3" display="Link"/>
    <hyperlink ref="G122" r:id="rId4" display="Link"/>
    <hyperlink ref="I261" r:id="rId5" display="Link"/>
    <hyperlink ref="I262" r:id="rId6" display="Link"/>
    <hyperlink ref="I266" r:id="rId7" display="Link"/>
    <hyperlink ref="I272" r:id="rId8" display="Link"/>
    <hyperlink ref="I273" r:id="rId9" display="Link"/>
    <hyperlink ref="I260" r:id="rId10" display="Link"/>
    <hyperlink ref="C104" location="Allgemeines!A1" display="Das Bezugsjahr kann im Tabellenblatt Allgemeines eingestellt werden."/>
    <hyperlink ref="G149" r:id="rId11" display="https://atiptap.org/files/studie_gutcert_pcf_wasser.pdf"/>
    <hyperlink ref="G147" r:id="rId12" display="https://www.papiernetz.de/informationen/nachhaltigkeitsrechner/"/>
    <hyperlink ref="G148" r:id="rId13" display="https://www.papiernetz.de/informationen/nachhaltigkeitsrechner/"/>
    <hyperlink ref="C31" location="Klassenfahrten!A1" display="Emissionen Klassenfahrten"/>
    <hyperlink ref="C32" location="Schüleraustausch!A1" display="Emissionen Schüleraustausch"/>
    <hyperlink ref="G152" r:id="rId14" display="https://www.oeko.de/oekodoc/1029/2010-081-de.pdf"/>
    <hyperlink ref="G153" r:id="rId15" display="https://www.oeko.de/oekodoc/1029/2010-081-de.pdf"/>
    <hyperlink ref="G156" r:id="rId16" display="https://www.oeko.de/fileadmin/oekodoc/Digitaler-CO2-Fussabdruck.pdf"/>
    <hyperlink ref="C36" location="Ernährung!A100" display="CO₂-Rechner Kiosk / Snacks"/>
    <hyperlink ref="C35" location="Ernährung!A1" display="CO₂-Rechner Schulessen"/>
    <hyperlink ref="C39" location="Beschaffung_1!A1" display="Beschaffung Papier"/>
    <hyperlink ref="C40" location="Beschaffung_2!A16" display="Wasserverbrauch"/>
    <hyperlink ref="C41" location="Inhalt!A37" display="Abfall (nur Restmüll)"/>
    <hyperlink ref="C42" location="Beschaffung_2!A97" display="Beschaffung Schulbücher"/>
    <hyperlink ref="C43" location="Beschaffung_2!A51" display="Beschaffung Stühle &amp; Tische"/>
    <hyperlink ref="C44" location="Beschaffung_2!A62" display="Beschaffung IT"/>
    <hyperlink ref="C65" location="Ernährung!A100" display="CO₂-Rechner Kiosk / Snacks"/>
    <hyperlink ref="C64" location="Ernährung!A1" display="CO₂-Rechner Schulessen"/>
    <hyperlink ref="C69" location="Beschaffung_1!A1" display="Beschaffung Papier"/>
    <hyperlink ref="C70" location="Beschaffung_2!A16" display="Wasserverbrauch"/>
    <hyperlink ref="C71" location="Inhalt!A37" display="Abfall (nur Restmüll)"/>
    <hyperlink ref="C72" location="Beschaffung_2!A97" display="Beschaffung Schulbücher"/>
    <hyperlink ref="C73" location="Beschaffung_2!A51" display="Beschaffung Stühle &amp; Tische"/>
    <hyperlink ref="C74" location="Beschaffung_2!A62" display="Beschaffung IT"/>
  </hyperlinks>
  <pageMargins left="0.7" right="0.7" top="0.75" bottom="0.75" header="0.3" footer="0.3"/>
  <pageSetup orientation="portrait" r:id="rId17"/>
  <drawing r:id="rId1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D103"/>
  <sheetViews>
    <sheetView showGridLines="0" topLeftCell="A34" workbookViewId="0">
      <selection activeCell="B66" sqref="B66"/>
    </sheetView>
  </sheetViews>
  <sheetFormatPr baseColWidth="10" defaultColWidth="9.109375" defaultRowHeight="14.4" x14ac:dyDescent="0.3"/>
  <cols>
    <col min="1" max="1" width="23.5546875" customWidth="1"/>
    <col min="11" max="11" width="10" customWidth="1"/>
    <col min="16" max="16" width="21" customWidth="1"/>
    <col min="25" max="25" width="18.21875" customWidth="1"/>
    <col min="26" max="26" width="16" customWidth="1"/>
  </cols>
  <sheetData>
    <row r="1" spans="1:30" ht="12" customHeight="1" x14ac:dyDescent="0.3">
      <c r="A1" t="s">
        <v>175</v>
      </c>
      <c r="E1" s="7" t="s">
        <v>10</v>
      </c>
      <c r="F1" s="7"/>
      <c r="G1" s="7"/>
      <c r="H1" s="7"/>
      <c r="I1" s="8"/>
      <c r="J1" s="9" t="s">
        <v>11</v>
      </c>
      <c r="K1" s="9"/>
      <c r="L1" s="9"/>
      <c r="M1" s="9"/>
      <c r="N1" s="9"/>
      <c r="O1" s="9"/>
      <c r="P1" s="9"/>
      <c r="Q1" s="9"/>
      <c r="R1" s="8"/>
      <c r="S1" s="10" t="s">
        <v>1</v>
      </c>
      <c r="T1" s="10"/>
      <c r="U1" s="10"/>
      <c r="V1" s="10"/>
      <c r="W1" s="10"/>
      <c r="X1" s="8"/>
      <c r="Y1" s="11" t="s">
        <v>2</v>
      </c>
      <c r="Z1" s="11"/>
      <c r="AA1" s="11"/>
      <c r="AB1" s="11"/>
      <c r="AC1" s="8"/>
      <c r="AD1" s="12"/>
    </row>
    <row r="2" spans="1:30" ht="12" customHeight="1" x14ac:dyDescent="0.3">
      <c r="A2" s="54" t="s">
        <v>71</v>
      </c>
      <c r="B2" s="54" t="s">
        <v>176</v>
      </c>
      <c r="C2" s="54" t="s">
        <v>177</v>
      </c>
      <c r="S2" t="s">
        <v>414</v>
      </c>
      <c r="Y2" s="8" t="s">
        <v>405</v>
      </c>
    </row>
    <row r="3" spans="1:30" ht="32.4" customHeight="1" x14ac:dyDescent="0.3">
      <c r="A3" t="s">
        <v>178</v>
      </c>
      <c r="B3" s="55">
        <v>140</v>
      </c>
      <c r="C3" s="56" t="s">
        <v>179</v>
      </c>
      <c r="E3" s="178" t="s">
        <v>66</v>
      </c>
      <c r="F3" s="178" t="s">
        <v>105</v>
      </c>
      <c r="G3" s="178" t="s">
        <v>117</v>
      </c>
      <c r="J3" s="9" t="s">
        <v>128</v>
      </c>
      <c r="K3" s="9" t="s">
        <v>33</v>
      </c>
      <c r="L3" s="21" t="s">
        <v>47</v>
      </c>
      <c r="M3" s="9" t="s">
        <v>130</v>
      </c>
      <c r="N3" s="9" t="s">
        <v>138</v>
      </c>
      <c r="O3" s="9" t="s">
        <v>139</v>
      </c>
      <c r="P3" s="35" t="s">
        <v>185</v>
      </c>
      <c r="Q3" s="58" t="s">
        <v>286</v>
      </c>
      <c r="S3" s="178" t="s">
        <v>515</v>
      </c>
      <c r="T3" s="21" t="s">
        <v>92</v>
      </c>
      <c r="U3" s="21" t="s">
        <v>516</v>
      </c>
      <c r="Y3" s="76" t="s">
        <v>341</v>
      </c>
      <c r="Z3" s="76" t="s">
        <v>354</v>
      </c>
      <c r="AA3" s="76" t="s">
        <v>347</v>
      </c>
      <c r="AB3" s="76" t="s">
        <v>356</v>
      </c>
      <c r="AC3" s="76" t="s">
        <v>361</v>
      </c>
      <c r="AD3" s="76" t="s">
        <v>364</v>
      </c>
    </row>
    <row r="4" spans="1:30" ht="18.45" customHeight="1" x14ac:dyDescent="0.3">
      <c r="A4" t="s">
        <v>301</v>
      </c>
      <c r="B4" s="20">
        <f>Stromverbrauch!E26</f>
        <v>99999</v>
      </c>
      <c r="C4" s="56" t="s">
        <v>302</v>
      </c>
      <c r="E4" s="31" t="s">
        <v>27</v>
      </c>
      <c r="F4" s="31" t="s">
        <v>27</v>
      </c>
      <c r="G4" s="31" t="s">
        <v>27</v>
      </c>
      <c r="J4" s="31" t="s">
        <v>27</v>
      </c>
      <c r="K4" s="31" t="s">
        <v>34</v>
      </c>
      <c r="L4" s="22" t="s">
        <v>27</v>
      </c>
      <c r="M4" s="31" t="s">
        <v>27</v>
      </c>
      <c r="N4" s="48" t="s">
        <v>140</v>
      </c>
      <c r="O4" s="33" t="s">
        <v>141</v>
      </c>
      <c r="P4" t="s">
        <v>186</v>
      </c>
      <c r="Q4" s="31">
        <v>965</v>
      </c>
      <c r="S4" s="22" t="s">
        <v>27</v>
      </c>
      <c r="T4">
        <v>0</v>
      </c>
      <c r="U4">
        <v>0</v>
      </c>
      <c r="Y4" s="77" t="s">
        <v>343</v>
      </c>
      <c r="Z4" s="81">
        <v>0</v>
      </c>
      <c r="AA4" s="77" t="s">
        <v>348</v>
      </c>
      <c r="AB4" s="31" t="s">
        <v>12</v>
      </c>
      <c r="AC4" s="77" t="s">
        <v>361</v>
      </c>
      <c r="AD4" s="82">
        <f>EmissionsfaktorFrischfaserpapier</f>
        <v>1.06</v>
      </c>
    </row>
    <row r="5" spans="1:30" ht="16.2" x14ac:dyDescent="0.3">
      <c r="A5" t="s">
        <v>305</v>
      </c>
      <c r="B5" s="55">
        <f>PV!D65</f>
        <v>90575.633873617699</v>
      </c>
      <c r="C5" s="56" t="s">
        <v>304</v>
      </c>
      <c r="E5" t="s">
        <v>1257</v>
      </c>
      <c r="F5" s="31" t="s">
        <v>114</v>
      </c>
      <c r="G5" s="31" t="s">
        <v>118</v>
      </c>
      <c r="J5" s="31" t="s">
        <v>26</v>
      </c>
      <c r="K5" s="31" t="s">
        <v>29</v>
      </c>
      <c r="L5" s="22" t="s">
        <v>48</v>
      </c>
      <c r="M5" s="31" t="s">
        <v>114</v>
      </c>
      <c r="N5" s="48" t="s">
        <v>142</v>
      </c>
      <c r="O5" s="33">
        <v>1997</v>
      </c>
      <c r="P5" t="s">
        <v>187</v>
      </c>
      <c r="Q5" s="31">
        <v>943</v>
      </c>
      <c r="S5" s="22" t="s">
        <v>75</v>
      </c>
      <c r="T5">
        <v>0</v>
      </c>
      <c r="U5">
        <v>1</v>
      </c>
      <c r="Y5" s="181" t="s">
        <v>521</v>
      </c>
      <c r="Z5" s="82">
        <f>ROUND((0.21*0.297)*0.08,4)</f>
        <v>5.0000000000000001E-3</v>
      </c>
      <c r="AA5" s="77" t="s">
        <v>349</v>
      </c>
      <c r="AB5" s="31">
        <v>185</v>
      </c>
      <c r="AC5" s="77" t="s">
        <v>363</v>
      </c>
      <c r="AD5" s="82">
        <f>EmissionsfaktorRecyclingpapier</f>
        <v>0.88600000000000001</v>
      </c>
    </row>
    <row r="6" spans="1:30" x14ac:dyDescent="0.3">
      <c r="A6" t="s">
        <v>325</v>
      </c>
      <c r="B6" s="55">
        <v>0.95</v>
      </c>
      <c r="C6" s="56" t="s">
        <v>326</v>
      </c>
      <c r="E6" s="31" t="s">
        <v>920</v>
      </c>
      <c r="F6" s="31" t="s">
        <v>115</v>
      </c>
      <c r="G6" s="31" t="s">
        <v>120</v>
      </c>
      <c r="J6" s="31" t="s">
        <v>14</v>
      </c>
      <c r="K6" s="31" t="s">
        <v>29</v>
      </c>
      <c r="L6" s="22" t="s">
        <v>49</v>
      </c>
      <c r="M6" s="31" t="s">
        <v>115</v>
      </c>
      <c r="N6" s="48" t="s">
        <v>143</v>
      </c>
      <c r="O6" s="33">
        <v>1998</v>
      </c>
      <c r="P6" t="s">
        <v>188</v>
      </c>
      <c r="Q6" s="31">
        <v>961</v>
      </c>
      <c r="S6" s="22" t="s">
        <v>429</v>
      </c>
      <c r="T6">
        <f>EmissionsfaktorÖPNV</f>
        <v>55</v>
      </c>
      <c r="U6">
        <v>1</v>
      </c>
      <c r="Y6" s="77" t="s">
        <v>353</v>
      </c>
      <c r="Z6" s="81">
        <f>Z5*500</f>
        <v>2.5</v>
      </c>
      <c r="AA6" s="77" t="s">
        <v>350</v>
      </c>
      <c r="AB6" s="31">
        <v>37</v>
      </c>
      <c r="AC6" s="77" t="s">
        <v>362</v>
      </c>
      <c r="AD6" s="82">
        <f>EmissionsfaktorFrischfaserpapier</f>
        <v>1.06</v>
      </c>
    </row>
    <row r="7" spans="1:30" x14ac:dyDescent="0.3">
      <c r="B7" s="56"/>
      <c r="C7" s="56"/>
      <c r="E7" s="31" t="s">
        <v>111</v>
      </c>
      <c r="F7" s="31" t="s">
        <v>116</v>
      </c>
      <c r="G7" s="31" t="s">
        <v>119</v>
      </c>
      <c r="J7" s="31" t="s">
        <v>15</v>
      </c>
      <c r="K7" s="31" t="s">
        <v>29</v>
      </c>
      <c r="L7" s="22" t="s">
        <v>51</v>
      </c>
      <c r="M7" s="31" t="s">
        <v>131</v>
      </c>
      <c r="N7" s="48" t="s">
        <v>144</v>
      </c>
      <c r="O7" s="33">
        <v>1999</v>
      </c>
      <c r="P7" t="s">
        <v>189</v>
      </c>
      <c r="Q7" s="31">
        <v>995</v>
      </c>
      <c r="S7" s="22" t="s">
        <v>416</v>
      </c>
      <c r="T7">
        <f>EmissionsfaktorReisebusKomplett</f>
        <v>650</v>
      </c>
      <c r="U7">
        <v>40</v>
      </c>
      <c r="Y7" s="77" t="s">
        <v>342</v>
      </c>
      <c r="Z7" s="83">
        <v>1</v>
      </c>
      <c r="AA7" s="77" t="s">
        <v>351</v>
      </c>
      <c r="AB7" s="31">
        <v>1</v>
      </c>
      <c r="AC7" s="77" t="s">
        <v>629</v>
      </c>
      <c r="AD7" s="82">
        <f>ROUND((AD5+AD6)/2,3)</f>
        <v>0.97299999999999998</v>
      </c>
    </row>
    <row r="8" spans="1:30" x14ac:dyDescent="0.3">
      <c r="B8" s="56"/>
      <c r="C8" s="56"/>
      <c r="E8" t="s">
        <v>108</v>
      </c>
      <c r="G8" s="31" t="s">
        <v>115</v>
      </c>
      <c r="J8" s="31" t="s">
        <v>17</v>
      </c>
      <c r="K8" s="31" t="s">
        <v>29</v>
      </c>
      <c r="L8" s="22" t="s">
        <v>50</v>
      </c>
      <c r="N8" s="48" t="s">
        <v>145</v>
      </c>
      <c r="O8" s="33">
        <v>2000</v>
      </c>
      <c r="P8" t="s">
        <v>190</v>
      </c>
      <c r="Q8" s="31">
        <v>961</v>
      </c>
      <c r="S8" s="22" t="s">
        <v>428</v>
      </c>
      <c r="T8">
        <f>EmissionsfaktorEisenbahnFernverkehr</f>
        <v>35</v>
      </c>
      <c r="U8">
        <v>1</v>
      </c>
    </row>
    <row r="9" spans="1:30" x14ac:dyDescent="0.3">
      <c r="A9" t="s">
        <v>518</v>
      </c>
      <c r="B9" s="55">
        <v>500</v>
      </c>
      <c r="C9" s="56" t="s">
        <v>518</v>
      </c>
      <c r="E9" s="31" t="s">
        <v>104</v>
      </c>
      <c r="J9" s="31" t="s">
        <v>16</v>
      </c>
      <c r="K9" s="31" t="s">
        <v>29</v>
      </c>
      <c r="N9" s="48" t="s">
        <v>146</v>
      </c>
      <c r="O9" s="33">
        <v>2001</v>
      </c>
      <c r="P9" t="s">
        <v>191</v>
      </c>
      <c r="Q9" s="31">
        <v>0</v>
      </c>
      <c r="S9" s="22" t="s">
        <v>417</v>
      </c>
      <c r="T9">
        <f>EmissionsfaktorAutoMittelklasse</f>
        <v>170</v>
      </c>
      <c r="U9">
        <v>4</v>
      </c>
    </row>
    <row r="10" spans="1:30" x14ac:dyDescent="0.3">
      <c r="A10" t="s">
        <v>519</v>
      </c>
      <c r="B10" s="55">
        <v>900</v>
      </c>
      <c r="C10" s="56" t="s">
        <v>519</v>
      </c>
      <c r="E10" s="31" t="s">
        <v>109</v>
      </c>
      <c r="J10" s="31" t="s">
        <v>25</v>
      </c>
      <c r="K10" s="31" t="s">
        <v>29</v>
      </c>
      <c r="N10" s="48" t="s">
        <v>147</v>
      </c>
      <c r="O10" s="33">
        <v>2002</v>
      </c>
      <c r="P10" t="s">
        <v>192</v>
      </c>
      <c r="Q10" s="31">
        <v>956</v>
      </c>
      <c r="S10" s="22" t="s">
        <v>513</v>
      </c>
      <c r="T10">
        <f>EmissionsfaktorFlugInland</f>
        <v>238</v>
      </c>
      <c r="U10">
        <v>1</v>
      </c>
      <c r="Y10" s="8" t="s">
        <v>402</v>
      </c>
    </row>
    <row r="11" spans="1:30" ht="43.2" x14ac:dyDescent="0.3">
      <c r="B11" s="56"/>
      <c r="C11" s="56"/>
      <c r="E11" s="31" t="s">
        <v>1256</v>
      </c>
      <c r="J11" s="31" t="s">
        <v>28</v>
      </c>
      <c r="K11" s="31" t="s">
        <v>30</v>
      </c>
      <c r="N11" s="48" t="s">
        <v>148</v>
      </c>
      <c r="O11" s="33">
        <v>2003</v>
      </c>
      <c r="P11" t="s">
        <v>193</v>
      </c>
      <c r="Q11" s="31">
        <v>937</v>
      </c>
      <c r="S11" s="22" t="s">
        <v>514</v>
      </c>
      <c r="T11">
        <f>EmissionsfaktorFlugAusland</f>
        <v>355</v>
      </c>
      <c r="U11">
        <v>1</v>
      </c>
      <c r="Y11" s="76" t="s">
        <v>404</v>
      </c>
      <c r="Z11" s="76" t="s">
        <v>354</v>
      </c>
    </row>
    <row r="12" spans="1:30" x14ac:dyDescent="0.3">
      <c r="A12" s="56"/>
      <c r="B12" s="56"/>
      <c r="C12" s="56"/>
      <c r="E12" t="s">
        <v>110</v>
      </c>
      <c r="J12" s="31" t="s">
        <v>18</v>
      </c>
      <c r="K12" s="31" t="s">
        <v>30</v>
      </c>
      <c r="N12" s="48" t="s">
        <v>134</v>
      </c>
      <c r="O12" s="33">
        <v>2004</v>
      </c>
      <c r="P12" t="s">
        <v>194</v>
      </c>
      <c r="Q12" s="31">
        <v>910</v>
      </c>
      <c r="Y12" s="77" t="s">
        <v>343</v>
      </c>
      <c r="Z12" s="81">
        <v>0</v>
      </c>
    </row>
    <row r="13" spans="1:30" ht="16.2" x14ac:dyDescent="0.3">
      <c r="B13" s="56"/>
      <c r="C13" s="56"/>
      <c r="E13" s="31" t="s">
        <v>919</v>
      </c>
      <c r="J13" s="31" t="s">
        <v>19</v>
      </c>
      <c r="K13" s="31" t="s">
        <v>30</v>
      </c>
      <c r="N13" s="48" t="s">
        <v>149</v>
      </c>
      <c r="O13" s="33">
        <v>2005</v>
      </c>
      <c r="P13" t="s">
        <v>195</v>
      </c>
      <c r="Q13" s="31">
        <v>922</v>
      </c>
      <c r="Y13" s="181" t="s">
        <v>522</v>
      </c>
      <c r="Z13" s="82">
        <f>ROUND(10.5/5000,4)</f>
        <v>2.0999999999999999E-3</v>
      </c>
    </row>
    <row r="14" spans="1:30" x14ac:dyDescent="0.3">
      <c r="B14" s="56"/>
      <c r="C14" s="56"/>
      <c r="E14" s="46" t="s">
        <v>107</v>
      </c>
      <c r="J14" s="31" t="s">
        <v>20</v>
      </c>
      <c r="K14" s="31" t="s">
        <v>30</v>
      </c>
      <c r="N14" s="48" t="s">
        <v>150</v>
      </c>
      <c r="O14" s="33">
        <v>2006</v>
      </c>
      <c r="P14" t="s">
        <v>196</v>
      </c>
      <c r="Q14" s="31">
        <v>962</v>
      </c>
      <c r="S14" t="s">
        <v>936</v>
      </c>
      <c r="Y14" s="77" t="s">
        <v>1197</v>
      </c>
      <c r="Z14" s="81">
        <f>ROUND(Z13*250,2)</f>
        <v>0.53</v>
      </c>
    </row>
    <row r="15" spans="1:30" x14ac:dyDescent="0.3">
      <c r="B15" s="56"/>
      <c r="C15" s="56"/>
      <c r="E15" s="31" t="s">
        <v>591</v>
      </c>
      <c r="J15" s="31" t="s">
        <v>21</v>
      </c>
      <c r="K15" s="31" t="s">
        <v>31</v>
      </c>
      <c r="N15" s="48" t="s">
        <v>151</v>
      </c>
      <c r="O15" s="33">
        <v>2007</v>
      </c>
      <c r="P15" t="s">
        <v>197</v>
      </c>
      <c r="Q15" s="31">
        <v>962</v>
      </c>
      <c r="S15" s="7" t="s">
        <v>515</v>
      </c>
      <c r="T15" s="343" t="s">
        <v>92</v>
      </c>
      <c r="Y15" s="77" t="s">
        <v>1196</v>
      </c>
      <c r="Z15" s="81">
        <f>Z13*4000</f>
        <v>8.4</v>
      </c>
    </row>
    <row r="16" spans="1:30" x14ac:dyDescent="0.3">
      <c r="A16" t="str">
        <f>PV!D31</f>
        <v>Bitte wählen</v>
      </c>
      <c r="B16" s="55">
        <f>VLOOKUP(A16,$J$24:$K$29,2,FALSE)</f>
        <v>180</v>
      </c>
      <c r="C16" s="56" t="s">
        <v>611</v>
      </c>
      <c r="E16" t="s">
        <v>113</v>
      </c>
      <c r="J16" s="31" t="s">
        <v>22</v>
      </c>
      <c r="K16" s="31" t="s">
        <v>31</v>
      </c>
      <c r="N16" s="48" t="s">
        <v>152</v>
      </c>
      <c r="O16" s="33">
        <v>2008</v>
      </c>
      <c r="P16" t="s">
        <v>198</v>
      </c>
      <c r="Q16" s="31">
        <v>962</v>
      </c>
      <c r="S16" s="344" t="s">
        <v>27</v>
      </c>
      <c r="T16">
        <v>0</v>
      </c>
      <c r="Y16" s="77" t="s">
        <v>342</v>
      </c>
      <c r="Z16" s="83">
        <v>1</v>
      </c>
    </row>
    <row r="17" spans="1:26" x14ac:dyDescent="0.3">
      <c r="A17" t="str">
        <f>PV!D33</f>
        <v>Bitte wählen</v>
      </c>
      <c r="B17" s="55">
        <f>VLOOKUP(A17,$L$24:$M$34,2,FALSE)</f>
        <v>45</v>
      </c>
      <c r="C17" s="56" t="s">
        <v>612</v>
      </c>
      <c r="E17" s="31" t="s">
        <v>112</v>
      </c>
      <c r="J17" s="31" t="s">
        <v>23</v>
      </c>
      <c r="K17" s="31" t="s">
        <v>32</v>
      </c>
      <c r="O17" s="33">
        <v>2009</v>
      </c>
      <c r="P17" t="s">
        <v>199</v>
      </c>
      <c r="Q17" s="31">
        <v>962</v>
      </c>
      <c r="S17" s="344" t="s">
        <v>429</v>
      </c>
      <c r="T17">
        <f>EmissionsfaktorÖPNV</f>
        <v>55</v>
      </c>
      <c r="Y17" s="182" t="s">
        <v>403</v>
      </c>
    </row>
    <row r="18" spans="1:26" x14ac:dyDescent="0.3">
      <c r="A18" t="str">
        <f>PV!D47</f>
        <v>Bitte wählen</v>
      </c>
      <c r="B18" s="55">
        <f>VLOOKUP(A18,$J$24:$K$29,2,FALSE)</f>
        <v>180</v>
      </c>
      <c r="C18" s="56" t="s">
        <v>613</v>
      </c>
      <c r="J18" s="31" t="s">
        <v>24</v>
      </c>
      <c r="K18" s="31" t="s">
        <v>32</v>
      </c>
      <c r="O18" s="33">
        <v>2010</v>
      </c>
      <c r="P18" t="s">
        <v>200</v>
      </c>
      <c r="Q18" s="31">
        <v>989</v>
      </c>
      <c r="S18" s="344" t="s">
        <v>416</v>
      </c>
      <c r="T18">
        <f>EmissionsfaktorReisebus</f>
        <v>26</v>
      </c>
      <c r="Y18" s="8" t="s">
        <v>406</v>
      </c>
    </row>
    <row r="19" spans="1:26" ht="43.2" x14ac:dyDescent="0.3">
      <c r="A19" t="str">
        <f>PV!D49</f>
        <v>Bitte wählen</v>
      </c>
      <c r="B19" s="55">
        <f>VLOOKUP(A19,$L$24:$M$34,2,FALSE)</f>
        <v>45</v>
      </c>
      <c r="C19" s="56" t="s">
        <v>614</v>
      </c>
      <c r="E19" s="103" t="s">
        <v>435</v>
      </c>
      <c r="O19" s="33">
        <v>2011</v>
      </c>
      <c r="P19" t="s">
        <v>201</v>
      </c>
      <c r="Q19" s="31">
        <v>997</v>
      </c>
      <c r="S19" s="344" t="s">
        <v>428</v>
      </c>
      <c r="T19">
        <f>EmissionsfaktorEisenbahnFernverkehr</f>
        <v>35</v>
      </c>
      <c r="Y19" s="76" t="s">
        <v>407</v>
      </c>
      <c r="Z19" s="76" t="s">
        <v>354</v>
      </c>
    </row>
    <row r="20" spans="1:26" x14ac:dyDescent="0.3">
      <c r="A20" t="s">
        <v>642</v>
      </c>
      <c r="B20" s="55">
        <f>Allgemeines!E23</f>
        <v>2023</v>
      </c>
      <c r="C20" s="56" t="s">
        <v>642</v>
      </c>
      <c r="E20" s="104" t="s">
        <v>27</v>
      </c>
      <c r="O20" s="33">
        <v>2012</v>
      </c>
      <c r="P20" t="s">
        <v>202</v>
      </c>
      <c r="Q20" s="31">
        <v>961</v>
      </c>
      <c r="S20" s="344" t="s">
        <v>417</v>
      </c>
      <c r="T20">
        <f>EmissionsfaktorAutoMittelklasse</f>
        <v>170</v>
      </c>
      <c r="Y20" s="77" t="s">
        <v>343</v>
      </c>
      <c r="Z20" s="81">
        <v>0</v>
      </c>
    </row>
    <row r="21" spans="1:26" x14ac:dyDescent="0.3">
      <c r="A21" t="s">
        <v>644</v>
      </c>
      <c r="B21" s="55">
        <f>IFERROR(VLOOKUP(Bezugsjahr,E40:F51,2,FALSE),F51)</f>
        <v>6</v>
      </c>
      <c r="C21" s="56" t="s">
        <v>645</v>
      </c>
      <c r="E21" s="104" t="s">
        <v>433</v>
      </c>
      <c r="O21" s="33">
        <v>2013</v>
      </c>
      <c r="P21" t="s">
        <v>203</v>
      </c>
      <c r="Q21" s="31">
        <v>984</v>
      </c>
      <c r="S21" s="344" t="s">
        <v>937</v>
      </c>
      <c r="T21">
        <f>ROUNDUP(EmissionsfaktorAutoMittelklasse/2,0)</f>
        <v>85</v>
      </c>
      <c r="Y21" s="77" t="s">
        <v>408</v>
      </c>
      <c r="Z21" s="82">
        <f>ROUND(1.2/8,4)</f>
        <v>0.15</v>
      </c>
    </row>
    <row r="22" spans="1:26" x14ac:dyDescent="0.3">
      <c r="A22" t="s">
        <v>1524</v>
      </c>
      <c r="B22" s="55" cm="1">
        <f t="array" ref="B22">INDEX(E40:E45,BezugsjahrSpalte)</f>
        <v>2023</v>
      </c>
      <c r="C22" s="56" t="s">
        <v>1525</v>
      </c>
      <c r="E22" s="104" t="s">
        <v>434</v>
      </c>
      <c r="J22" t="s">
        <v>610</v>
      </c>
      <c r="O22" s="33">
        <v>2014</v>
      </c>
      <c r="P22" t="s">
        <v>204</v>
      </c>
      <c r="Q22" s="31">
        <v>966</v>
      </c>
      <c r="S22" s="344" t="s">
        <v>938</v>
      </c>
      <c r="T22">
        <f>ROUNDUP(EmissionsfaktorAutoMittelklasse/3,0)</f>
        <v>57</v>
      </c>
      <c r="Y22" s="77" t="s">
        <v>409</v>
      </c>
      <c r="Z22" s="81">
        <f>30*Z21</f>
        <v>4.5</v>
      </c>
    </row>
    <row r="23" spans="1:26" ht="28.8" x14ac:dyDescent="0.3">
      <c r="A23" t="s">
        <v>954</v>
      </c>
      <c r="B23" s="55">
        <v>200</v>
      </c>
      <c r="C23" s="56" t="s">
        <v>954</v>
      </c>
      <c r="J23" s="47" t="s">
        <v>155</v>
      </c>
      <c r="K23" s="47" t="s">
        <v>159</v>
      </c>
      <c r="L23" s="51" t="s">
        <v>157</v>
      </c>
      <c r="M23" s="51" t="s">
        <v>160</v>
      </c>
      <c r="O23" s="33">
        <v>2015</v>
      </c>
      <c r="P23" t="s">
        <v>205</v>
      </c>
      <c r="Q23" s="31">
        <v>983</v>
      </c>
      <c r="S23" s="344" t="s">
        <v>513</v>
      </c>
      <c r="T23">
        <f>EmissionsfaktorFlugInland</f>
        <v>238</v>
      </c>
      <c r="Y23" s="77" t="s">
        <v>342</v>
      </c>
      <c r="Z23" s="83">
        <v>1</v>
      </c>
    </row>
    <row r="24" spans="1:26" x14ac:dyDescent="0.3">
      <c r="A24" t="s">
        <v>955</v>
      </c>
      <c r="B24" s="55">
        <v>600</v>
      </c>
      <c r="C24" s="56" t="s">
        <v>955</v>
      </c>
      <c r="E24" s="103" t="s">
        <v>436</v>
      </c>
      <c r="J24" s="48" t="s">
        <v>156</v>
      </c>
      <c r="K24" s="52">
        <v>180</v>
      </c>
      <c r="L24" s="53" t="s">
        <v>156</v>
      </c>
      <c r="M24" s="52">
        <v>45</v>
      </c>
      <c r="O24" s="33">
        <v>2016</v>
      </c>
      <c r="P24" t="s">
        <v>206</v>
      </c>
      <c r="Q24" s="31">
        <v>962</v>
      </c>
      <c r="S24" s="344" t="s">
        <v>514</v>
      </c>
      <c r="T24">
        <f>EmissionsfaktorFlugAusland</f>
        <v>355</v>
      </c>
      <c r="Y24" s="182" t="s">
        <v>410</v>
      </c>
    </row>
    <row r="25" spans="1:26" x14ac:dyDescent="0.3">
      <c r="A25" t="s">
        <v>1046</v>
      </c>
      <c r="B25" s="55">
        <v>1000</v>
      </c>
      <c r="C25" s="56" t="s">
        <v>1046</v>
      </c>
      <c r="E25" s="104" t="s">
        <v>27</v>
      </c>
      <c r="J25" s="48" t="s">
        <v>161</v>
      </c>
      <c r="K25" s="52">
        <v>90</v>
      </c>
      <c r="L25" s="53" t="s">
        <v>162</v>
      </c>
      <c r="M25" s="52">
        <v>0</v>
      </c>
      <c r="O25" s="33">
        <v>2017</v>
      </c>
      <c r="P25" t="s">
        <v>207</v>
      </c>
      <c r="Q25" s="31">
        <v>962</v>
      </c>
    </row>
    <row r="26" spans="1:26" x14ac:dyDescent="0.3">
      <c r="A26" t="s">
        <v>1047</v>
      </c>
      <c r="B26" s="55">
        <v>5000</v>
      </c>
      <c r="C26" s="56" t="s">
        <v>1047</v>
      </c>
      <c r="E26" s="104" t="s">
        <v>437</v>
      </c>
      <c r="J26" s="48" t="s">
        <v>163</v>
      </c>
      <c r="K26" s="52">
        <v>135</v>
      </c>
      <c r="L26" s="53" t="s">
        <v>164</v>
      </c>
      <c r="M26" s="52">
        <v>10</v>
      </c>
      <c r="O26" s="33">
        <v>2018</v>
      </c>
      <c r="P26" t="s">
        <v>208</v>
      </c>
      <c r="Q26" s="31">
        <v>962</v>
      </c>
    </row>
    <row r="27" spans="1:26" x14ac:dyDescent="0.3">
      <c r="A27" t="s">
        <v>1049</v>
      </c>
      <c r="B27" s="55">
        <v>2</v>
      </c>
      <c r="C27" s="56" t="s">
        <v>1049</v>
      </c>
      <c r="E27" s="104" t="s">
        <v>438</v>
      </c>
      <c r="J27" s="48" t="s">
        <v>165</v>
      </c>
      <c r="K27" s="52">
        <v>180</v>
      </c>
      <c r="L27" s="53" t="s">
        <v>166</v>
      </c>
      <c r="M27" s="52">
        <v>20</v>
      </c>
      <c r="O27" s="33">
        <v>2019</v>
      </c>
      <c r="P27" t="s">
        <v>209</v>
      </c>
      <c r="Q27" s="31">
        <v>979</v>
      </c>
    </row>
    <row r="28" spans="1:26" x14ac:dyDescent="0.3">
      <c r="A28" t="s">
        <v>1050</v>
      </c>
      <c r="B28" s="55">
        <v>100</v>
      </c>
      <c r="C28" s="56" t="s">
        <v>1050</v>
      </c>
      <c r="E28" s="104" t="s">
        <v>445</v>
      </c>
      <c r="J28" s="48" t="s">
        <v>167</v>
      </c>
      <c r="K28" s="52">
        <v>225</v>
      </c>
      <c r="L28" s="53" t="s">
        <v>158</v>
      </c>
      <c r="M28" s="52">
        <v>30</v>
      </c>
      <c r="O28" s="33">
        <v>2020</v>
      </c>
      <c r="P28" t="s">
        <v>210</v>
      </c>
      <c r="Q28" s="31">
        <v>965</v>
      </c>
      <c r="T28" s="39" t="s">
        <v>421</v>
      </c>
      <c r="U28" s="21" t="s">
        <v>92</v>
      </c>
    </row>
    <row r="29" spans="1:26" ht="28.8" x14ac:dyDescent="0.3">
      <c r="A29" t="s">
        <v>1051</v>
      </c>
      <c r="B29" s="55">
        <v>6.5</v>
      </c>
      <c r="C29" s="56" t="s">
        <v>1051</v>
      </c>
      <c r="J29" s="48" t="s">
        <v>168</v>
      </c>
      <c r="K29" s="52">
        <v>270</v>
      </c>
      <c r="L29" s="53" t="s">
        <v>169</v>
      </c>
      <c r="M29" s="52">
        <v>40</v>
      </c>
      <c r="O29" s="33">
        <v>2021</v>
      </c>
      <c r="P29" t="s">
        <v>211</v>
      </c>
      <c r="Q29" s="31">
        <v>995</v>
      </c>
      <c r="T29" s="88" t="s">
        <v>415</v>
      </c>
      <c r="U29">
        <v>50</v>
      </c>
      <c r="Y29" s="415" t="s">
        <v>1069</v>
      </c>
      <c r="Z29" s="415" t="s">
        <v>176</v>
      </c>
    </row>
    <row r="30" spans="1:26" x14ac:dyDescent="0.3">
      <c r="A30" t="s">
        <v>1153</v>
      </c>
      <c r="B30" s="55">
        <v>0.5</v>
      </c>
      <c r="C30" s="56" t="s">
        <v>1153</v>
      </c>
      <c r="E30" s="103" t="s">
        <v>443</v>
      </c>
      <c r="L30" s="53" t="s">
        <v>170</v>
      </c>
      <c r="M30" s="52">
        <v>50</v>
      </c>
      <c r="O30" s="33">
        <v>2022</v>
      </c>
      <c r="P30" t="s">
        <v>212</v>
      </c>
      <c r="Q30" s="31">
        <v>931</v>
      </c>
      <c r="T30" s="88" t="s">
        <v>416</v>
      </c>
      <c r="U30">
        <f>2600*25/100</f>
        <v>650</v>
      </c>
      <c r="Y30" s="31" t="s">
        <v>27</v>
      </c>
      <c r="Z30" s="31">
        <v>1</v>
      </c>
    </row>
    <row r="31" spans="1:26" x14ac:dyDescent="0.3">
      <c r="A31" t="s">
        <v>1158</v>
      </c>
      <c r="B31" s="55">
        <v>0.05</v>
      </c>
      <c r="C31" s="56" t="s">
        <v>1158</v>
      </c>
      <c r="E31" s="104" t="s">
        <v>27</v>
      </c>
      <c r="L31" s="53" t="s">
        <v>171</v>
      </c>
      <c r="M31" s="52">
        <v>60</v>
      </c>
      <c r="P31" t="s">
        <v>213</v>
      </c>
      <c r="Q31" s="31">
        <v>923</v>
      </c>
      <c r="T31" s="88" t="s">
        <v>417</v>
      </c>
      <c r="U31">
        <f>2300*6/100</f>
        <v>138</v>
      </c>
      <c r="Y31" s="31" t="s">
        <v>1070</v>
      </c>
      <c r="Z31" s="31">
        <v>5</v>
      </c>
    </row>
    <row r="32" spans="1:26" x14ac:dyDescent="0.3">
      <c r="A32" t="s">
        <v>1159</v>
      </c>
      <c r="B32" s="55">
        <v>0.15</v>
      </c>
      <c r="C32" s="56" t="s">
        <v>1159</v>
      </c>
      <c r="E32" s="104" t="s">
        <v>103</v>
      </c>
      <c r="L32" s="53" t="s">
        <v>172</v>
      </c>
      <c r="M32" s="52">
        <v>70</v>
      </c>
      <c r="P32" t="s">
        <v>214</v>
      </c>
      <c r="Q32" s="31">
        <v>923</v>
      </c>
      <c r="T32" s="88" t="s">
        <v>418</v>
      </c>
      <c r="U32">
        <v>0</v>
      </c>
      <c r="Y32" s="31" t="s">
        <v>1071</v>
      </c>
      <c r="Z32" s="31">
        <v>6</v>
      </c>
    </row>
    <row r="33" spans="1:26" x14ac:dyDescent="0.3">
      <c r="A33" t="s">
        <v>1160</v>
      </c>
      <c r="B33" s="55">
        <v>0.25</v>
      </c>
      <c r="C33" s="56" t="s">
        <v>1160</v>
      </c>
      <c r="E33" s="104" t="s">
        <v>444</v>
      </c>
      <c r="L33" s="53" t="s">
        <v>173</v>
      </c>
      <c r="M33" s="52">
        <v>80</v>
      </c>
      <c r="P33" t="s">
        <v>215</v>
      </c>
      <c r="Q33" s="31">
        <v>929</v>
      </c>
      <c r="T33" s="88" t="s">
        <v>428</v>
      </c>
      <c r="U33">
        <v>32</v>
      </c>
      <c r="Y33" s="31" t="s">
        <v>1072</v>
      </c>
      <c r="Z33" s="31">
        <v>7</v>
      </c>
    </row>
    <row r="34" spans="1:26" x14ac:dyDescent="0.3">
      <c r="L34" s="53" t="s">
        <v>174</v>
      </c>
      <c r="M34" s="52">
        <v>90</v>
      </c>
      <c r="P34" t="s">
        <v>216</v>
      </c>
      <c r="Q34" s="31">
        <v>933</v>
      </c>
      <c r="T34" s="97" t="s">
        <v>429</v>
      </c>
      <c r="U34">
        <v>58</v>
      </c>
      <c r="Y34" s="31" t="s">
        <v>1073</v>
      </c>
      <c r="Z34" s="31">
        <v>8</v>
      </c>
    </row>
    <row r="35" spans="1:26" x14ac:dyDescent="0.3">
      <c r="A35" t="s">
        <v>1161</v>
      </c>
      <c r="B35" s="55" t="s">
        <v>1165</v>
      </c>
      <c r="C35" s="56" t="s">
        <v>1161</v>
      </c>
      <c r="E35" s="103" t="s">
        <v>630</v>
      </c>
      <c r="P35" t="s">
        <v>217</v>
      </c>
      <c r="Q35" s="31">
        <v>933</v>
      </c>
      <c r="Y35" s="31" t="s">
        <v>1074</v>
      </c>
      <c r="Z35" s="31">
        <v>9</v>
      </c>
    </row>
    <row r="36" spans="1:26" x14ac:dyDescent="0.3">
      <c r="A36" t="s">
        <v>1162</v>
      </c>
      <c r="B36" s="55" t="s">
        <v>1166</v>
      </c>
      <c r="C36" s="56" t="s">
        <v>1162</v>
      </c>
      <c r="E36" s="104" t="s">
        <v>631</v>
      </c>
      <c r="P36" t="s">
        <v>218</v>
      </c>
      <c r="Q36" s="31">
        <v>925</v>
      </c>
      <c r="Y36" s="31" t="s">
        <v>1075</v>
      </c>
      <c r="Z36" s="31">
        <v>10</v>
      </c>
    </row>
    <row r="37" spans="1:26" x14ac:dyDescent="0.3">
      <c r="A37" t="s">
        <v>1163</v>
      </c>
      <c r="B37" s="55" t="s">
        <v>1167</v>
      </c>
      <c r="C37" s="56" t="s">
        <v>1163</v>
      </c>
      <c r="E37" s="104" t="s">
        <v>632</v>
      </c>
      <c r="P37" t="s">
        <v>219</v>
      </c>
      <c r="Q37" s="31">
        <v>886</v>
      </c>
      <c r="Y37" s="31" t="s">
        <v>1076</v>
      </c>
      <c r="Z37" s="31">
        <v>11</v>
      </c>
    </row>
    <row r="38" spans="1:26" x14ac:dyDescent="0.3">
      <c r="A38" t="s">
        <v>1164</v>
      </c>
      <c r="B38" s="55" t="s">
        <v>1210</v>
      </c>
      <c r="C38" s="56" t="s">
        <v>1164</v>
      </c>
      <c r="P38" t="s">
        <v>220</v>
      </c>
      <c r="Q38" s="31">
        <v>921</v>
      </c>
      <c r="Y38" s="31" t="s">
        <v>1077</v>
      </c>
      <c r="Z38" s="31">
        <v>12</v>
      </c>
    </row>
    <row r="39" spans="1:26" x14ac:dyDescent="0.3">
      <c r="A39" t="s">
        <v>1295</v>
      </c>
      <c r="B39" s="55">
        <v>60</v>
      </c>
      <c r="C39" s="56" t="s">
        <v>1295</v>
      </c>
      <c r="E39" s="103" t="s">
        <v>642</v>
      </c>
      <c r="F39" s="103" t="s">
        <v>643</v>
      </c>
      <c r="P39" t="s">
        <v>221</v>
      </c>
      <c r="Q39" s="31">
        <v>959</v>
      </c>
      <c r="Y39" s="31" t="s">
        <v>1078</v>
      </c>
      <c r="Z39" s="31">
        <v>13</v>
      </c>
    </row>
    <row r="40" spans="1:26" x14ac:dyDescent="0.3">
      <c r="A40" t="s">
        <v>1294</v>
      </c>
      <c r="B40" s="55">
        <v>100</v>
      </c>
      <c r="C40" s="56" t="s">
        <v>1294</v>
      </c>
      <c r="E40" s="104">
        <v>2018</v>
      </c>
      <c r="F40" s="104">
        <v>1</v>
      </c>
      <c r="P40" t="s">
        <v>222</v>
      </c>
      <c r="Q40" s="31">
        <v>929</v>
      </c>
      <c r="Y40" s="31" t="s">
        <v>1079</v>
      </c>
      <c r="Z40" s="31">
        <v>14</v>
      </c>
    </row>
    <row r="41" spans="1:26" x14ac:dyDescent="0.3">
      <c r="A41" t="s">
        <v>1296</v>
      </c>
      <c r="B41" s="55">
        <v>130</v>
      </c>
      <c r="C41" s="56" t="s">
        <v>1296</v>
      </c>
      <c r="E41" s="104">
        <v>2019</v>
      </c>
      <c r="F41" s="104">
        <v>2</v>
      </c>
      <c r="P41" t="s">
        <v>223</v>
      </c>
      <c r="Q41" s="31">
        <v>909</v>
      </c>
      <c r="Y41" s="31" t="s">
        <v>1080</v>
      </c>
      <c r="Z41" s="31">
        <v>15</v>
      </c>
    </row>
    <row r="42" spans="1:26" x14ac:dyDescent="0.3">
      <c r="A42" t="s">
        <v>1308</v>
      </c>
      <c r="B42" s="55">
        <v>150</v>
      </c>
      <c r="C42" s="56" t="s">
        <v>1308</v>
      </c>
      <c r="E42" s="104">
        <v>2020</v>
      </c>
      <c r="F42" s="104">
        <v>3</v>
      </c>
      <c r="P42" t="s">
        <v>224</v>
      </c>
      <c r="Q42" s="31">
        <v>941</v>
      </c>
      <c r="Y42" s="31" t="s">
        <v>1081</v>
      </c>
      <c r="Z42" s="31">
        <v>16</v>
      </c>
    </row>
    <row r="43" spans="1:26" x14ac:dyDescent="0.3">
      <c r="A43" t="s">
        <v>1309</v>
      </c>
      <c r="B43" s="55">
        <v>250</v>
      </c>
      <c r="C43" s="56" t="s">
        <v>1309</v>
      </c>
      <c r="E43" s="104">
        <v>2021</v>
      </c>
      <c r="F43" s="104">
        <v>4</v>
      </c>
      <c r="P43" t="s">
        <v>225</v>
      </c>
      <c r="Q43" s="31">
        <v>964</v>
      </c>
      <c r="Y43" s="31" t="s">
        <v>1082</v>
      </c>
      <c r="Z43" s="31">
        <v>17</v>
      </c>
    </row>
    <row r="44" spans="1:26" x14ac:dyDescent="0.3">
      <c r="A44" t="s">
        <v>1385</v>
      </c>
      <c r="B44" s="55">
        <v>100</v>
      </c>
      <c r="C44" s="56" t="s">
        <v>1385</v>
      </c>
      <c r="E44" s="104">
        <v>2022</v>
      </c>
      <c r="F44" s="104">
        <v>5</v>
      </c>
      <c r="P44" t="s">
        <v>226</v>
      </c>
      <c r="Q44" s="31">
        <v>942</v>
      </c>
      <c r="Y44" s="31" t="s">
        <v>1083</v>
      </c>
      <c r="Z44" s="31">
        <v>18</v>
      </c>
    </row>
    <row r="45" spans="1:26" x14ac:dyDescent="0.3">
      <c r="A45" t="s">
        <v>1386</v>
      </c>
      <c r="B45" s="55">
        <v>1</v>
      </c>
      <c r="C45" s="56" t="s">
        <v>1386</v>
      </c>
      <c r="E45" s="104">
        <v>2023</v>
      </c>
      <c r="F45" s="104">
        <v>6</v>
      </c>
      <c r="P45" t="s">
        <v>227</v>
      </c>
      <c r="Q45" s="31">
        <v>945</v>
      </c>
      <c r="Y45" s="31" t="s">
        <v>1084</v>
      </c>
      <c r="Z45" s="31">
        <v>19</v>
      </c>
    </row>
    <row r="46" spans="1:26" x14ac:dyDescent="0.3">
      <c r="A46" t="s">
        <v>1387</v>
      </c>
      <c r="B46" s="55">
        <v>1</v>
      </c>
      <c r="C46" s="56" t="s">
        <v>1387</v>
      </c>
      <c r="E46" s="104" t="s">
        <v>1526</v>
      </c>
      <c r="F46" s="104">
        <v>1</v>
      </c>
      <c r="P46" t="s">
        <v>228</v>
      </c>
      <c r="Q46" s="31">
        <v>895</v>
      </c>
      <c r="Y46" s="31" t="s">
        <v>1085</v>
      </c>
      <c r="Z46" s="31">
        <v>20</v>
      </c>
    </row>
    <row r="47" spans="1:26" x14ac:dyDescent="0.3">
      <c r="A47" t="s">
        <v>1388</v>
      </c>
      <c r="B47" s="55">
        <v>10</v>
      </c>
      <c r="C47" s="56" t="s">
        <v>1388</v>
      </c>
      <c r="E47" s="104" t="s">
        <v>1527</v>
      </c>
      <c r="F47" s="104">
        <v>2</v>
      </c>
      <c r="P47" t="s">
        <v>229</v>
      </c>
      <c r="Q47" s="31">
        <v>0</v>
      </c>
      <c r="Y47" s="31" t="s">
        <v>1086</v>
      </c>
      <c r="Z47" s="31">
        <v>22</v>
      </c>
    </row>
    <row r="48" spans="1:26" x14ac:dyDescent="0.3">
      <c r="E48" s="104" t="s">
        <v>1528</v>
      </c>
      <c r="F48" s="104">
        <v>3</v>
      </c>
      <c r="P48" t="s">
        <v>230</v>
      </c>
      <c r="Q48" s="31">
        <v>927</v>
      </c>
      <c r="Y48" s="31" t="s">
        <v>1087</v>
      </c>
      <c r="Z48" s="31">
        <v>24</v>
      </c>
    </row>
    <row r="49" spans="5:26" x14ac:dyDescent="0.3">
      <c r="E49" s="104" t="s">
        <v>1529</v>
      </c>
      <c r="F49" s="104">
        <v>4</v>
      </c>
      <c r="P49" t="s">
        <v>231</v>
      </c>
      <c r="Q49" s="31">
        <v>918</v>
      </c>
      <c r="Y49" s="31" t="s">
        <v>1088</v>
      </c>
      <c r="Z49" s="31">
        <v>26</v>
      </c>
    </row>
    <row r="50" spans="5:26" x14ac:dyDescent="0.3">
      <c r="E50" s="104" t="s">
        <v>1530</v>
      </c>
      <c r="F50" s="104">
        <v>5</v>
      </c>
      <c r="P50" t="s">
        <v>232</v>
      </c>
      <c r="Q50" s="31">
        <v>911</v>
      </c>
      <c r="Y50" s="31" t="s">
        <v>1089</v>
      </c>
      <c r="Z50" s="31">
        <v>28</v>
      </c>
    </row>
    <row r="51" spans="5:26" x14ac:dyDescent="0.3">
      <c r="E51" s="104" t="s">
        <v>1531</v>
      </c>
      <c r="F51" s="104">
        <v>6</v>
      </c>
      <c r="P51" t="s">
        <v>233</v>
      </c>
      <c r="Q51" s="31">
        <v>958</v>
      </c>
      <c r="Y51" s="31" t="s">
        <v>1090</v>
      </c>
      <c r="Z51" s="31">
        <v>30</v>
      </c>
    </row>
    <row r="52" spans="5:26" x14ac:dyDescent="0.3">
      <c r="P52" t="s">
        <v>234</v>
      </c>
      <c r="Q52" s="31">
        <v>939</v>
      </c>
      <c r="Y52" s="31" t="s">
        <v>1091</v>
      </c>
      <c r="Z52" s="31">
        <v>32</v>
      </c>
    </row>
    <row r="53" spans="5:26" x14ac:dyDescent="0.3">
      <c r="P53" t="s">
        <v>235</v>
      </c>
      <c r="Q53" s="31">
        <v>919</v>
      </c>
      <c r="Y53" s="31" t="s">
        <v>1092</v>
      </c>
      <c r="Z53" s="31">
        <v>34</v>
      </c>
    </row>
    <row r="54" spans="5:26" x14ac:dyDescent="0.3">
      <c r="P54" t="s">
        <v>236</v>
      </c>
      <c r="Q54" s="31">
        <v>935</v>
      </c>
      <c r="Y54" s="31" t="s">
        <v>1093</v>
      </c>
      <c r="Z54" s="31">
        <v>36</v>
      </c>
    </row>
    <row r="55" spans="5:26" x14ac:dyDescent="0.3">
      <c r="P55" t="s">
        <v>237</v>
      </c>
      <c r="Q55" s="31">
        <v>935</v>
      </c>
      <c r="Y55" s="31" t="s">
        <v>1094</v>
      </c>
      <c r="Z55" s="31">
        <v>38</v>
      </c>
    </row>
    <row r="56" spans="5:26" x14ac:dyDescent="0.3">
      <c r="P56" t="s">
        <v>238</v>
      </c>
      <c r="Q56" s="31">
        <v>929</v>
      </c>
      <c r="Y56" s="31" t="s">
        <v>1095</v>
      </c>
      <c r="Z56" s="31">
        <v>40</v>
      </c>
    </row>
    <row r="57" spans="5:26" x14ac:dyDescent="0.3">
      <c r="P57" t="s">
        <v>239</v>
      </c>
      <c r="Q57" s="31">
        <v>961</v>
      </c>
    </row>
    <row r="58" spans="5:26" ht="43.2" x14ac:dyDescent="0.3">
      <c r="E58" s="178" t="s">
        <v>122</v>
      </c>
      <c r="F58" s="178" t="s">
        <v>1171</v>
      </c>
      <c r="P58" t="s">
        <v>240</v>
      </c>
      <c r="Q58" s="31">
        <v>944</v>
      </c>
    </row>
    <row r="59" spans="5:26" x14ac:dyDescent="0.3">
      <c r="E59" s="31" t="s">
        <v>27</v>
      </c>
      <c r="F59" s="151">
        <v>0</v>
      </c>
      <c r="P59" t="s">
        <v>241</v>
      </c>
      <c r="Q59" s="31">
        <v>975</v>
      </c>
    </row>
    <row r="60" spans="5:26" x14ac:dyDescent="0.3">
      <c r="E60" s="31" t="s">
        <v>123</v>
      </c>
      <c r="F60" s="439">
        <v>0.5</v>
      </c>
      <c r="P60" t="s">
        <v>242</v>
      </c>
      <c r="Q60" s="31">
        <v>962</v>
      </c>
    </row>
    <row r="61" spans="5:26" x14ac:dyDescent="0.3">
      <c r="E61" s="31" t="s">
        <v>124</v>
      </c>
      <c r="F61" s="439">
        <v>0.25</v>
      </c>
      <c r="P61" t="s">
        <v>243</v>
      </c>
      <c r="Q61" s="31">
        <v>912</v>
      </c>
      <c r="Y61" s="415" t="s">
        <v>1110</v>
      </c>
      <c r="Z61" s="415" t="s">
        <v>176</v>
      </c>
    </row>
    <row r="62" spans="5:26" x14ac:dyDescent="0.3">
      <c r="E62" s="31" t="s">
        <v>125</v>
      </c>
      <c r="F62" s="439">
        <v>0.1</v>
      </c>
      <c r="P62" t="s">
        <v>244</v>
      </c>
      <c r="Q62" s="31">
        <v>911</v>
      </c>
      <c r="Y62" s="31" t="s">
        <v>27</v>
      </c>
      <c r="Z62" s="31">
        <v>1</v>
      </c>
    </row>
    <row r="63" spans="5:26" x14ac:dyDescent="0.3">
      <c r="E63" s="31" t="s">
        <v>126</v>
      </c>
      <c r="F63" s="439">
        <v>0.1</v>
      </c>
      <c r="P63" t="s">
        <v>245</v>
      </c>
      <c r="Q63" s="31">
        <v>939</v>
      </c>
      <c r="Y63" s="31" t="s">
        <v>1111</v>
      </c>
      <c r="Z63" s="31">
        <v>1</v>
      </c>
    </row>
    <row r="64" spans="5:26" x14ac:dyDescent="0.3">
      <c r="E64" s="31" t="s">
        <v>115</v>
      </c>
      <c r="F64" s="439">
        <v>0</v>
      </c>
      <c r="P64" t="s">
        <v>246</v>
      </c>
      <c r="Q64" s="31">
        <v>955</v>
      </c>
      <c r="Y64" s="31" t="s">
        <v>1112</v>
      </c>
      <c r="Z64" s="31">
        <v>2</v>
      </c>
    </row>
    <row r="65" spans="16:26" x14ac:dyDescent="0.3">
      <c r="P65" t="s">
        <v>247</v>
      </c>
      <c r="Q65" s="31">
        <v>970</v>
      </c>
      <c r="Y65" s="31" t="s">
        <v>1113</v>
      </c>
      <c r="Z65" s="31">
        <v>3</v>
      </c>
    </row>
    <row r="66" spans="16:26" x14ac:dyDescent="0.3">
      <c r="P66" t="s">
        <v>248</v>
      </c>
      <c r="Q66" s="31">
        <v>955</v>
      </c>
      <c r="Y66" s="31" t="s">
        <v>1114</v>
      </c>
      <c r="Z66" s="31">
        <v>4</v>
      </c>
    </row>
    <row r="67" spans="16:26" x14ac:dyDescent="0.3">
      <c r="P67" t="s">
        <v>249</v>
      </c>
      <c r="Q67" s="31">
        <v>961</v>
      </c>
      <c r="Y67" s="31" t="s">
        <v>1070</v>
      </c>
      <c r="Z67" s="31">
        <v>5</v>
      </c>
    </row>
    <row r="68" spans="16:26" x14ac:dyDescent="0.3">
      <c r="P68" t="s">
        <v>250</v>
      </c>
      <c r="Q68" s="31">
        <v>965</v>
      </c>
      <c r="Y68" s="31" t="s">
        <v>1071</v>
      </c>
      <c r="Z68" s="31">
        <v>6</v>
      </c>
    </row>
    <row r="69" spans="16:26" x14ac:dyDescent="0.3">
      <c r="P69" t="s">
        <v>251</v>
      </c>
      <c r="Q69" s="31">
        <v>957</v>
      </c>
      <c r="Y69" s="31" t="s">
        <v>1072</v>
      </c>
      <c r="Z69" s="31">
        <v>7</v>
      </c>
    </row>
    <row r="70" spans="16:26" x14ac:dyDescent="0.3">
      <c r="P70" t="s">
        <v>252</v>
      </c>
      <c r="Q70" s="31">
        <v>975</v>
      </c>
      <c r="Y70" s="31" t="s">
        <v>1073</v>
      </c>
      <c r="Z70" s="31">
        <v>8</v>
      </c>
    </row>
    <row r="71" spans="16:26" x14ac:dyDescent="0.3">
      <c r="P71" t="s">
        <v>253</v>
      </c>
      <c r="Q71" s="31">
        <v>953</v>
      </c>
      <c r="Y71" s="31" t="s">
        <v>1074</v>
      </c>
      <c r="Z71" s="31">
        <v>9</v>
      </c>
    </row>
    <row r="72" spans="16:26" x14ac:dyDescent="0.3">
      <c r="P72" t="s">
        <v>254</v>
      </c>
      <c r="Q72" s="31">
        <v>1010</v>
      </c>
      <c r="Y72" s="31" t="s">
        <v>1075</v>
      </c>
      <c r="Z72" s="31">
        <v>10</v>
      </c>
    </row>
    <row r="73" spans="16:26" x14ac:dyDescent="0.3">
      <c r="P73" t="s">
        <v>255</v>
      </c>
      <c r="Q73" s="31">
        <v>978</v>
      </c>
      <c r="Y73" s="31" t="s">
        <v>1076</v>
      </c>
      <c r="Z73" s="31">
        <v>11</v>
      </c>
    </row>
    <row r="74" spans="16:26" x14ac:dyDescent="0.3">
      <c r="P74" t="s">
        <v>256</v>
      </c>
      <c r="Q74" s="31">
        <v>1000</v>
      </c>
      <c r="Y74" s="31" t="s">
        <v>1077</v>
      </c>
      <c r="Z74" s="31">
        <v>12</v>
      </c>
    </row>
    <row r="75" spans="16:26" x14ac:dyDescent="0.3">
      <c r="P75" t="s">
        <v>257</v>
      </c>
      <c r="Q75" s="31">
        <v>1000</v>
      </c>
      <c r="Y75" s="31" t="s">
        <v>1078</v>
      </c>
      <c r="Z75" s="31">
        <v>13</v>
      </c>
    </row>
    <row r="76" spans="16:26" x14ac:dyDescent="0.3">
      <c r="P76" t="s">
        <v>258</v>
      </c>
      <c r="Q76" s="31">
        <v>1020</v>
      </c>
      <c r="Y76" s="31" t="s">
        <v>1079</v>
      </c>
      <c r="Z76" s="31">
        <v>14</v>
      </c>
    </row>
    <row r="77" spans="16:26" x14ac:dyDescent="0.3">
      <c r="P77" t="s">
        <v>259</v>
      </c>
      <c r="Q77" s="31">
        <v>1000</v>
      </c>
      <c r="Y77" s="31" t="s">
        <v>1080</v>
      </c>
      <c r="Z77" s="31">
        <v>15</v>
      </c>
    </row>
    <row r="78" spans="16:26" x14ac:dyDescent="0.3">
      <c r="P78" t="s">
        <v>260</v>
      </c>
      <c r="Q78" s="31">
        <v>1000</v>
      </c>
    </row>
    <row r="79" spans="16:26" x14ac:dyDescent="0.3">
      <c r="P79" t="s">
        <v>261</v>
      </c>
      <c r="Q79" s="31">
        <v>1020</v>
      </c>
      <c r="Y79" s="415" t="s">
        <v>1110</v>
      </c>
      <c r="Z79" s="415" t="s">
        <v>176</v>
      </c>
    </row>
    <row r="80" spans="16:26" x14ac:dyDescent="0.3">
      <c r="P80" t="s">
        <v>262</v>
      </c>
      <c r="Q80" s="31">
        <v>1050</v>
      </c>
      <c r="Y80" s="31" t="s">
        <v>27</v>
      </c>
      <c r="Z80" s="31">
        <v>1</v>
      </c>
    </row>
    <row r="81" spans="16:26" x14ac:dyDescent="0.3">
      <c r="P81" t="s">
        <v>263</v>
      </c>
      <c r="Q81" s="31">
        <v>1030</v>
      </c>
      <c r="Y81" s="31" t="s">
        <v>1136</v>
      </c>
      <c r="Z81" s="31">
        <v>1</v>
      </c>
    </row>
    <row r="82" spans="16:26" x14ac:dyDescent="0.3">
      <c r="P82" t="s">
        <v>264</v>
      </c>
      <c r="Q82" s="31">
        <v>1020</v>
      </c>
      <c r="Y82" s="31" t="s">
        <v>1137</v>
      </c>
      <c r="Z82" s="31">
        <v>2</v>
      </c>
    </row>
    <row r="83" spans="16:26" x14ac:dyDescent="0.3">
      <c r="P83" t="s">
        <v>265</v>
      </c>
      <c r="Q83" s="31">
        <v>999</v>
      </c>
      <c r="Y83" s="31" t="s">
        <v>1138</v>
      </c>
      <c r="Z83" s="31">
        <v>3</v>
      </c>
    </row>
    <row r="84" spans="16:26" x14ac:dyDescent="0.3">
      <c r="P84" t="s">
        <v>266</v>
      </c>
      <c r="Q84" s="31">
        <v>1020</v>
      </c>
      <c r="Y84" s="31" t="s">
        <v>1139</v>
      </c>
      <c r="Z84" s="31">
        <v>4</v>
      </c>
    </row>
    <row r="85" spans="16:26" x14ac:dyDescent="0.3">
      <c r="P85" t="s">
        <v>267</v>
      </c>
      <c r="Q85" s="31">
        <v>1020</v>
      </c>
      <c r="Y85" s="31" t="s">
        <v>1140</v>
      </c>
      <c r="Z85" s="31">
        <v>5</v>
      </c>
    </row>
    <row r="86" spans="16:26" x14ac:dyDescent="0.3">
      <c r="P86" t="s">
        <v>268</v>
      </c>
      <c r="Q86" s="31">
        <v>1020</v>
      </c>
    </row>
    <row r="87" spans="16:26" x14ac:dyDescent="0.3">
      <c r="P87" t="s">
        <v>269</v>
      </c>
      <c r="Q87" s="31">
        <v>1040</v>
      </c>
    </row>
    <row r="88" spans="16:26" ht="28.8" x14ac:dyDescent="0.3">
      <c r="P88" t="s">
        <v>270</v>
      </c>
      <c r="Q88" s="31">
        <v>1010</v>
      </c>
      <c r="Y88" s="76" t="s">
        <v>1369</v>
      </c>
      <c r="Z88" s="76" t="s">
        <v>356</v>
      </c>
    </row>
    <row r="89" spans="16:26" x14ac:dyDescent="0.3">
      <c r="P89" t="s">
        <v>271</v>
      </c>
      <c r="Q89" s="31">
        <v>1020</v>
      </c>
      <c r="Y89" s="77" t="s">
        <v>348</v>
      </c>
      <c r="Z89" s="31" t="s">
        <v>12</v>
      </c>
    </row>
    <row r="90" spans="16:26" x14ac:dyDescent="0.3">
      <c r="P90" t="s">
        <v>272</v>
      </c>
      <c r="Q90" s="31">
        <v>1020</v>
      </c>
      <c r="Y90" s="77" t="s">
        <v>349</v>
      </c>
      <c r="Z90" s="31">
        <v>185</v>
      </c>
    </row>
    <row r="91" spans="16:26" x14ac:dyDescent="0.3">
      <c r="P91" t="s">
        <v>273</v>
      </c>
      <c r="Q91" s="31">
        <v>1040</v>
      </c>
      <c r="Y91" s="77" t="s">
        <v>350</v>
      </c>
      <c r="Z91" s="31">
        <v>37</v>
      </c>
    </row>
    <row r="92" spans="16:26" x14ac:dyDescent="0.3">
      <c r="P92" t="s">
        <v>274</v>
      </c>
      <c r="Q92" s="31">
        <v>1060</v>
      </c>
      <c r="Y92" s="77" t="s">
        <v>1372</v>
      </c>
      <c r="Z92" s="31">
        <v>1</v>
      </c>
    </row>
    <row r="93" spans="16:26" x14ac:dyDescent="0.3">
      <c r="P93" t="s">
        <v>275</v>
      </c>
      <c r="Q93" s="31">
        <v>1010</v>
      </c>
    </row>
    <row r="94" spans="16:26" x14ac:dyDescent="0.3">
      <c r="P94" t="s">
        <v>276</v>
      </c>
      <c r="Q94" s="31">
        <v>963</v>
      </c>
    </row>
    <row r="95" spans="16:26" x14ac:dyDescent="0.3">
      <c r="P95" t="s">
        <v>277</v>
      </c>
      <c r="Q95" s="31">
        <v>963</v>
      </c>
    </row>
    <row r="96" spans="16:26" x14ac:dyDescent="0.3">
      <c r="P96" t="s">
        <v>278</v>
      </c>
      <c r="Q96" s="31">
        <v>977</v>
      </c>
    </row>
    <row r="97" spans="16:17" x14ac:dyDescent="0.3">
      <c r="P97" t="s">
        <v>279</v>
      </c>
      <c r="Q97" s="31">
        <v>986</v>
      </c>
    </row>
    <row r="98" spans="16:17" x14ac:dyDescent="0.3">
      <c r="P98" t="s">
        <v>280</v>
      </c>
      <c r="Q98" s="31">
        <v>986</v>
      </c>
    </row>
    <row r="99" spans="16:17" x14ac:dyDescent="0.3">
      <c r="P99" t="s">
        <v>281</v>
      </c>
      <c r="Q99" s="31">
        <v>925</v>
      </c>
    </row>
    <row r="100" spans="16:17" x14ac:dyDescent="0.3">
      <c r="P100" t="s">
        <v>282</v>
      </c>
      <c r="Q100" s="31">
        <v>966</v>
      </c>
    </row>
    <row r="101" spans="16:17" x14ac:dyDescent="0.3">
      <c r="P101" t="s">
        <v>283</v>
      </c>
      <c r="Q101" s="31">
        <v>977</v>
      </c>
    </row>
    <row r="102" spans="16:17" x14ac:dyDescent="0.3">
      <c r="P102" t="s">
        <v>284</v>
      </c>
      <c r="Q102" s="31">
        <v>909</v>
      </c>
    </row>
    <row r="103" spans="16:17" x14ac:dyDescent="0.3">
      <c r="P103" t="s">
        <v>285</v>
      </c>
      <c r="Q103" s="31">
        <v>928</v>
      </c>
    </row>
  </sheetData>
  <sortState ref="E5:E16">
    <sortCondition ref="E5:E16"/>
  </sortState>
  <phoneticPr fontId="39" type="noConversion"/>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44"/>
  <sheetViews>
    <sheetView showGridLines="0" tabSelected="1" topLeftCell="A7" workbookViewId="0">
      <selection activeCell="G16" sqref="G16"/>
    </sheetView>
  </sheetViews>
  <sheetFormatPr baseColWidth="10" defaultColWidth="0" defaultRowHeight="14.4" zeroHeight="1" x14ac:dyDescent="0.3"/>
  <cols>
    <col min="1" max="1" width="7" customWidth="1"/>
    <col min="2" max="2" width="1.6640625" customWidth="1"/>
    <col min="3" max="3" width="28.33203125" customWidth="1"/>
    <col min="4" max="4" width="10.33203125" customWidth="1"/>
    <col min="5" max="5" width="20" customWidth="1"/>
    <col min="6" max="6" width="17.33203125" customWidth="1"/>
    <col min="7" max="7" width="10.33203125" customWidth="1"/>
    <col min="8" max="8" width="12.6640625" customWidth="1"/>
    <col min="9" max="9" width="13.5546875" customWidth="1"/>
    <col min="10" max="10" width="0" hidden="1" customWidth="1"/>
    <col min="11" max="16384" width="8.88671875" hidden="1"/>
  </cols>
  <sheetData>
    <row r="1" spans="1:10" x14ac:dyDescent="0.3">
      <c r="A1" s="1"/>
      <c r="B1" s="1"/>
      <c r="C1" s="1"/>
      <c r="D1" s="1"/>
      <c r="E1" s="1"/>
      <c r="F1" s="1"/>
      <c r="G1" s="1"/>
      <c r="H1" s="1"/>
      <c r="I1" s="1"/>
      <c r="J1" s="1"/>
    </row>
    <row r="2" spans="1:10" x14ac:dyDescent="0.3">
      <c r="A2" s="1"/>
      <c r="B2" s="1"/>
      <c r="C2" s="1"/>
      <c r="D2" s="1"/>
      <c r="E2" s="1"/>
      <c r="F2" s="1"/>
      <c r="G2" s="1"/>
      <c r="H2" s="1"/>
      <c r="I2" s="1"/>
      <c r="J2" s="1"/>
    </row>
    <row r="3" spans="1:10" ht="28.8" x14ac:dyDescent="0.55000000000000004">
      <c r="A3" s="1"/>
      <c r="B3" s="1"/>
      <c r="C3" s="1"/>
      <c r="D3" s="2" t="s">
        <v>933</v>
      </c>
      <c r="E3" s="1"/>
      <c r="F3" s="1"/>
      <c r="G3" s="1"/>
      <c r="H3" s="1"/>
      <c r="I3" s="1"/>
      <c r="J3" s="2"/>
    </row>
    <row r="4" spans="1:10" ht="18.600000000000001" thickBot="1" x14ac:dyDescent="0.4">
      <c r="A4" s="245"/>
      <c r="B4" s="245"/>
      <c r="C4" s="245"/>
      <c r="D4" s="339" t="str">
        <f>NameDerSchule</f>
        <v>Schule ABC</v>
      </c>
      <c r="E4" s="245"/>
      <c r="F4" s="245"/>
      <c r="G4" s="245"/>
      <c r="H4" s="245"/>
      <c r="I4" s="245"/>
      <c r="J4" s="245"/>
    </row>
    <row r="5" spans="1:10" ht="15" thickTop="1" x14ac:dyDescent="0.3">
      <c r="A5" s="26" t="s">
        <v>63</v>
      </c>
      <c r="B5" s="26"/>
    </row>
    <row r="6" spans="1:10" x14ac:dyDescent="0.3"/>
    <row r="7" spans="1:10" ht="18" thickBot="1" x14ac:dyDescent="0.4">
      <c r="C7" s="3" t="s">
        <v>127</v>
      </c>
      <c r="D7" s="3"/>
      <c r="E7" s="3"/>
    </row>
    <row r="8" spans="1:10" ht="15" thickTop="1" x14ac:dyDescent="0.3"/>
    <row r="9" spans="1:10" x14ac:dyDescent="0.3">
      <c r="C9" t="s">
        <v>65</v>
      </c>
      <c r="E9" s="581" t="s">
        <v>1274</v>
      </c>
      <c r="F9" s="582"/>
      <c r="G9" s="583"/>
    </row>
    <row r="10" spans="1:10" ht="15" thickBot="1" x14ac:dyDescent="0.35">
      <c r="E10" s="78"/>
    </row>
    <row r="11" spans="1:10" ht="15" thickBot="1" x14ac:dyDescent="0.35">
      <c r="C11" t="s">
        <v>66</v>
      </c>
      <c r="E11" s="464" t="s">
        <v>27</v>
      </c>
    </row>
    <row r="12" spans="1:10" ht="15" thickBot="1" x14ac:dyDescent="0.35">
      <c r="C12" t="s">
        <v>105</v>
      </c>
      <c r="E12" s="464" t="s">
        <v>27</v>
      </c>
    </row>
    <row r="13" spans="1:10" ht="15" thickBot="1" x14ac:dyDescent="0.35">
      <c r="C13" t="s">
        <v>106</v>
      </c>
      <c r="E13" s="464" t="s">
        <v>27</v>
      </c>
    </row>
    <row r="14" spans="1:10" x14ac:dyDescent="0.3">
      <c r="E14" s="78"/>
    </row>
    <row r="15" spans="1:10" x14ac:dyDescent="0.3">
      <c r="C15" t="s">
        <v>1425</v>
      </c>
      <c r="E15" s="465">
        <v>999</v>
      </c>
    </row>
    <row r="16" spans="1:10" x14ac:dyDescent="0.3">
      <c r="C16" t="s">
        <v>1426</v>
      </c>
      <c r="E16" s="465">
        <v>99</v>
      </c>
    </row>
    <row r="17" spans="3:8" x14ac:dyDescent="0.3">
      <c r="C17" t="s">
        <v>1427</v>
      </c>
      <c r="E17" s="466">
        <f>SUM(E15:E16)</f>
        <v>1098</v>
      </c>
    </row>
    <row r="18" spans="3:8" x14ac:dyDescent="0.3">
      <c r="C18" t="s">
        <v>1145</v>
      </c>
      <c r="E18" s="465"/>
    </row>
    <row r="19" spans="3:8" x14ac:dyDescent="0.3">
      <c r="E19" s="78"/>
    </row>
    <row r="20" spans="3:8" ht="16.2" x14ac:dyDescent="0.3">
      <c r="C20" t="s">
        <v>1172</v>
      </c>
      <c r="E20" s="186">
        <v>9999</v>
      </c>
      <c r="F20" t="s">
        <v>440</v>
      </c>
    </row>
    <row r="21" spans="3:8" ht="16.2" x14ac:dyDescent="0.3">
      <c r="C21" t="s">
        <v>441</v>
      </c>
      <c r="E21" s="186">
        <v>999</v>
      </c>
      <c r="F21" t="s">
        <v>440</v>
      </c>
    </row>
    <row r="22" spans="3:8" ht="15" thickBot="1" x14ac:dyDescent="0.35">
      <c r="E22" s="78"/>
    </row>
    <row r="23" spans="3:8" ht="15" thickBot="1" x14ac:dyDescent="0.35">
      <c r="C23" s="8" t="s">
        <v>929</v>
      </c>
      <c r="E23" s="467">
        <v>2023</v>
      </c>
      <c r="F23" s="553" t="str">
        <f>IF(E23&lt;&gt;2023,"siehe Info-Kasten!","")</f>
        <v/>
      </c>
    </row>
    <row r="24" spans="3:8" x14ac:dyDescent="0.3">
      <c r="C24" s="554" t="str">
        <f>"Zur Berechnung werden die Emissionsfaktoren für das Jahr "&amp;BezugsjahrEmissionsfaktoren&amp;" verwendet."</f>
        <v>Zur Berechnung werden die Emissionsfaktoren für das Jahr 2023 verwendet.</v>
      </c>
    </row>
    <row r="25" spans="3:8" ht="40.799999999999997" customHeight="1" x14ac:dyDescent="0.3">
      <c r="C25" s="575" t="s">
        <v>1532</v>
      </c>
      <c r="D25" s="576"/>
      <c r="E25" s="576"/>
      <c r="F25" s="576"/>
      <c r="G25" s="576"/>
      <c r="H25" s="577"/>
    </row>
    <row r="26" spans="3:8" ht="40.799999999999997" customHeight="1" x14ac:dyDescent="0.3">
      <c r="C26" s="578"/>
      <c r="D26" s="562"/>
      <c r="E26" s="562"/>
      <c r="F26" s="562"/>
      <c r="G26" s="562"/>
      <c r="H26" s="579"/>
    </row>
    <row r="27" spans="3:8" ht="55.8" customHeight="1" x14ac:dyDescent="0.3">
      <c r="C27" s="580"/>
      <c r="D27" s="572"/>
      <c r="E27" s="572"/>
      <c r="F27" s="572"/>
      <c r="G27" s="572"/>
      <c r="H27" s="573"/>
    </row>
    <row r="28" spans="3:8" x14ac:dyDescent="0.3"/>
    <row r="29" spans="3:8" x14ac:dyDescent="0.3">
      <c r="C29" s="8" t="s">
        <v>480</v>
      </c>
    </row>
    <row r="30" spans="3:8" x14ac:dyDescent="0.3">
      <c r="C30" s="201" t="s">
        <v>930</v>
      </c>
    </row>
    <row r="31" spans="3:8" x14ac:dyDescent="0.3"/>
    <row r="32" spans="3:8" x14ac:dyDescent="0.3">
      <c r="C32" s="8" t="s">
        <v>931</v>
      </c>
    </row>
    <row r="33" spans="3:3" x14ac:dyDescent="0.3">
      <c r="C33" s="201" t="s">
        <v>932</v>
      </c>
    </row>
    <row r="34" spans="3:3" x14ac:dyDescent="0.3"/>
    <row r="35" spans="3:3" x14ac:dyDescent="0.3"/>
    <row r="36" spans="3:3" x14ac:dyDescent="0.3"/>
    <row r="37" spans="3:3" x14ac:dyDescent="0.3"/>
    <row r="38" spans="3:3" x14ac:dyDescent="0.3"/>
    <row r="39" spans="3:3" x14ac:dyDescent="0.3"/>
    <row r="40" spans="3:3" x14ac:dyDescent="0.3"/>
    <row r="41" spans="3:3" x14ac:dyDescent="0.3"/>
    <row r="42" spans="3:3" x14ac:dyDescent="0.3"/>
    <row r="43" spans="3:3" x14ac:dyDescent="0.3"/>
    <row r="44" spans="3:3" x14ac:dyDescent="0.3"/>
  </sheetData>
  <sheetProtection algorithmName="SHA-512" hashValue="xUmop0mBeTpLTBb91K3EWKNX9fqw2v7Y+3fbmHYnGoYxCAv0kpJOMx+/+rHgWQnoGxeOR3C5JQLNtY0PebmSaQ==" saltValue="5/fbwvCamwy9u8OUA5i6pA==" spinCount="100000" sheet="1" objects="1" scenarios="1"/>
  <mergeCells count="2">
    <mergeCell ref="C25:H27"/>
    <mergeCell ref="E9:G9"/>
  </mergeCells>
  <hyperlinks>
    <hyperlink ref="A5" location="Inhalt!A1" display="&lt;= Start"/>
    <hyperlink ref="C30" location="Einstellungen!C62" display="zu den Einstellungen der Emissionsfaktoren:"/>
    <hyperlink ref="C33" location="Einstellungen!C7" display="zu den Einstellungen Schulzentrum:"/>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Lookup!$E$40:$E$51</xm:f>
          </x14:formula1>
          <xm:sqref>E23</xm:sqref>
        </x14:dataValidation>
        <x14:dataValidation type="list" allowBlank="1" showInputMessage="1" showErrorMessage="1">
          <x14:formula1>
            <xm:f>Lookup!$G$4:$G$8</xm:f>
          </x14:formula1>
          <xm:sqref>E13</xm:sqref>
        </x14:dataValidation>
        <x14:dataValidation type="list" allowBlank="1" showInputMessage="1" showErrorMessage="1">
          <x14:formula1>
            <xm:f>Lookup!$F$4:$F$7</xm:f>
          </x14:formula1>
          <xm:sqref>E12</xm:sqref>
        </x14:dataValidation>
        <x14:dataValidation type="list" allowBlank="1">
          <x14:formula1>
            <xm:f>Lookup!$E$4:$E$17</xm:f>
          </x14:formula1>
          <xm:sqref>E11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18800"/>
  </sheetPr>
  <dimension ref="A1:S86"/>
  <sheetViews>
    <sheetView showGridLines="0" topLeftCell="A17" workbookViewId="0">
      <selection activeCell="J37" sqref="J37"/>
    </sheetView>
  </sheetViews>
  <sheetFormatPr baseColWidth="10" defaultColWidth="0" defaultRowHeight="14.4" zeroHeight="1" x14ac:dyDescent="0.3"/>
  <cols>
    <col min="1" max="1" width="8.88671875" customWidth="1"/>
    <col min="2" max="2" width="15.44140625" customWidth="1"/>
    <col min="3" max="3" width="7.44140625" customWidth="1"/>
    <col min="4" max="4" width="11.6640625" customWidth="1"/>
    <col min="5" max="5" width="12.33203125" customWidth="1"/>
    <col min="6" max="6" width="8.88671875" customWidth="1"/>
    <col min="7" max="7" width="14.6640625" customWidth="1"/>
    <col min="8" max="8" width="20.44140625" customWidth="1"/>
    <col min="9" max="10" width="8.88671875" customWidth="1"/>
    <col min="11" max="11" width="1.88671875" hidden="1" customWidth="1"/>
    <col min="12" max="12" width="8.88671875" hidden="1" customWidth="1"/>
    <col min="13" max="13" width="13.6640625" hidden="1" customWidth="1"/>
    <col min="14" max="16384" width="8.88671875" hidden="1"/>
  </cols>
  <sheetData>
    <row r="1" spans="1:16" ht="12" customHeight="1" x14ac:dyDescent="0.3">
      <c r="A1" s="1"/>
      <c r="B1" s="1"/>
      <c r="C1" s="1"/>
      <c r="D1" s="1"/>
      <c r="E1" s="1"/>
      <c r="F1" s="1"/>
      <c r="G1" s="1"/>
      <c r="H1" s="1"/>
      <c r="I1" s="1"/>
      <c r="J1" s="1"/>
      <c r="K1" s="1"/>
      <c r="L1" s="1"/>
      <c r="M1" s="1"/>
      <c r="N1" s="1"/>
      <c r="O1" s="1"/>
      <c r="P1" s="1"/>
    </row>
    <row r="2" spans="1:16" ht="12" customHeight="1" x14ac:dyDescent="0.3">
      <c r="A2" s="1"/>
      <c r="B2" s="1"/>
      <c r="C2" s="1"/>
      <c r="D2" s="1"/>
      <c r="E2" s="1"/>
      <c r="F2" s="1"/>
      <c r="G2" s="1"/>
      <c r="H2" s="1"/>
      <c r="I2" s="1"/>
      <c r="J2" s="1"/>
      <c r="K2" s="1"/>
      <c r="L2" s="1"/>
      <c r="M2" s="1"/>
      <c r="N2" s="1"/>
      <c r="O2" s="1"/>
      <c r="P2" s="1"/>
    </row>
    <row r="3" spans="1:16" ht="32.4" customHeight="1" x14ac:dyDescent="0.55000000000000004">
      <c r="A3" s="1"/>
      <c r="B3" s="1"/>
      <c r="C3" s="1"/>
      <c r="D3" s="2" t="s">
        <v>5</v>
      </c>
      <c r="E3" s="1"/>
      <c r="F3" s="1"/>
      <c r="G3" s="1"/>
      <c r="H3" s="2"/>
      <c r="I3" s="1"/>
      <c r="J3" s="1"/>
      <c r="K3" s="2"/>
      <c r="L3" s="1"/>
      <c r="M3" s="1"/>
      <c r="N3" s="1"/>
      <c r="O3" s="1"/>
      <c r="P3" s="1"/>
    </row>
    <row r="4" spans="1:16" ht="18.45" customHeight="1" thickBot="1" x14ac:dyDescent="0.4">
      <c r="A4" s="28"/>
      <c r="B4" s="28"/>
      <c r="C4" s="93"/>
      <c r="D4" s="340" t="str">
        <f>NameDerSchule</f>
        <v>Schule ABC</v>
      </c>
      <c r="E4" s="28"/>
      <c r="F4" s="28"/>
      <c r="G4" s="28"/>
      <c r="H4" s="28"/>
      <c r="I4" s="28"/>
      <c r="J4" s="28"/>
      <c r="K4" s="28"/>
      <c r="L4" s="28"/>
      <c r="M4" s="28"/>
      <c r="N4" s="28"/>
      <c r="O4" s="28"/>
      <c r="P4" s="28"/>
    </row>
    <row r="5" spans="1:16" ht="15" thickTop="1" x14ac:dyDescent="0.3">
      <c r="A5" s="26" t="s">
        <v>63</v>
      </c>
      <c r="K5" s="1"/>
    </row>
    <row r="6" spans="1:16" x14ac:dyDescent="0.3">
      <c r="K6" s="1"/>
    </row>
    <row r="7" spans="1:16" ht="20.399999999999999" thickBot="1" x14ac:dyDescent="0.5">
      <c r="B7" s="3" t="s">
        <v>490</v>
      </c>
      <c r="C7" s="3"/>
      <c r="D7" s="3"/>
      <c r="E7" s="3"/>
      <c r="K7" s="1"/>
    </row>
    <row r="8" spans="1:16" ht="2.4" customHeight="1" thickTop="1" x14ac:dyDescent="0.3">
      <c r="K8" s="1"/>
    </row>
    <row r="9" spans="1:16" ht="1.8" customHeight="1" x14ac:dyDescent="0.3">
      <c r="B9" s="584" t="s">
        <v>1230</v>
      </c>
      <c r="C9" s="585"/>
      <c r="D9" s="585"/>
      <c r="E9" s="585"/>
      <c r="F9" s="585"/>
      <c r="G9" s="585"/>
      <c r="H9" s="585"/>
      <c r="I9" s="585"/>
      <c r="K9" s="1"/>
    </row>
    <row r="10" spans="1:16" ht="18.600000000000001" customHeight="1" x14ac:dyDescent="0.3">
      <c r="B10" s="585"/>
      <c r="C10" s="585"/>
      <c r="D10" s="585"/>
      <c r="E10" s="585"/>
      <c r="F10" s="585"/>
      <c r="G10" s="585"/>
      <c r="H10" s="585"/>
      <c r="I10" s="585"/>
      <c r="K10" s="1"/>
    </row>
    <row r="11" spans="1:16" ht="16.8" customHeight="1" x14ac:dyDescent="0.3">
      <c r="B11" s="585"/>
      <c r="C11" s="585"/>
      <c r="D11" s="585"/>
      <c r="E11" s="585"/>
      <c r="F11" s="585"/>
      <c r="G11" s="585"/>
      <c r="H11" s="585"/>
      <c r="I11" s="585"/>
      <c r="K11" s="1"/>
    </row>
    <row r="12" spans="1:16" ht="16.8" customHeight="1" x14ac:dyDescent="0.3">
      <c r="B12" s="585"/>
      <c r="C12" s="585"/>
      <c r="D12" s="585"/>
      <c r="E12" s="585"/>
      <c r="F12" s="585"/>
      <c r="G12" s="585"/>
      <c r="H12" s="585"/>
      <c r="I12" s="585"/>
      <c r="K12" s="1"/>
    </row>
    <row r="13" spans="1:16" ht="16.8" customHeight="1" x14ac:dyDescent="0.3">
      <c r="B13" s="585"/>
      <c r="C13" s="585"/>
      <c r="D13" s="585"/>
      <c r="E13" s="585"/>
      <c r="F13" s="585"/>
      <c r="G13" s="585"/>
      <c r="H13" s="585"/>
      <c r="I13" s="585"/>
      <c r="K13" s="1"/>
    </row>
    <row r="14" spans="1:16" ht="16.8" customHeight="1" x14ac:dyDescent="0.3">
      <c r="B14" s="585"/>
      <c r="C14" s="585"/>
      <c r="D14" s="585"/>
      <c r="E14" s="585"/>
      <c r="F14" s="585"/>
      <c r="G14" s="585"/>
      <c r="H14" s="585"/>
      <c r="I14" s="585"/>
      <c r="K14" s="1"/>
    </row>
    <row r="15" spans="1:16" ht="16.8" customHeight="1" x14ac:dyDescent="0.3">
      <c r="B15" s="585"/>
      <c r="C15" s="585"/>
      <c r="D15" s="585"/>
      <c r="E15" s="585"/>
      <c r="F15" s="585"/>
      <c r="G15" s="585"/>
      <c r="H15" s="585"/>
      <c r="I15" s="585"/>
      <c r="K15" s="1"/>
    </row>
    <row r="16" spans="1:16" ht="16.8" customHeight="1" x14ac:dyDescent="0.3">
      <c r="B16" s="585"/>
      <c r="C16" s="585"/>
      <c r="D16" s="585"/>
      <c r="E16" s="585"/>
      <c r="F16" s="585"/>
      <c r="G16" s="585"/>
      <c r="H16" s="585"/>
      <c r="I16" s="585"/>
      <c r="K16" s="1"/>
    </row>
    <row r="17" spans="1:13" ht="16.8" customHeight="1" x14ac:dyDescent="0.3">
      <c r="B17" s="585"/>
      <c r="C17" s="585"/>
      <c r="D17" s="585"/>
      <c r="E17" s="585"/>
      <c r="F17" s="585"/>
      <c r="G17" s="585"/>
      <c r="H17" s="585"/>
      <c r="I17" s="585"/>
      <c r="K17" s="1"/>
    </row>
    <row r="18" spans="1:13" ht="16.8" customHeight="1" x14ac:dyDescent="0.3">
      <c r="B18" s="585"/>
      <c r="C18" s="585"/>
      <c r="D18" s="585"/>
      <c r="E18" s="585"/>
      <c r="F18" s="585"/>
      <c r="G18" s="585"/>
      <c r="H18" s="585"/>
      <c r="I18" s="585"/>
      <c r="K18" s="1"/>
    </row>
    <row r="19" spans="1:13" ht="16.8" customHeight="1" x14ac:dyDescent="0.3">
      <c r="B19" s="585"/>
      <c r="C19" s="585"/>
      <c r="D19" s="585"/>
      <c r="E19" s="585"/>
      <c r="F19" s="585"/>
      <c r="G19" s="585"/>
      <c r="H19" s="585"/>
      <c r="I19" s="585"/>
      <c r="K19" s="1"/>
    </row>
    <row r="20" spans="1:13" ht="16.8" customHeight="1" x14ac:dyDescent="0.3">
      <c r="B20" s="585"/>
      <c r="C20" s="585"/>
      <c r="D20" s="585"/>
      <c r="E20" s="585"/>
      <c r="F20" s="585"/>
      <c r="G20" s="585"/>
      <c r="H20" s="585"/>
      <c r="I20" s="585"/>
      <c r="K20" s="1"/>
    </row>
    <row r="21" spans="1:13" x14ac:dyDescent="0.3">
      <c r="K21" s="1"/>
    </row>
    <row r="22" spans="1:13" x14ac:dyDescent="0.3">
      <c r="B22" s="8" t="s">
        <v>35</v>
      </c>
      <c r="E22" s="189">
        <v>44197</v>
      </c>
      <c r="K22" s="1"/>
    </row>
    <row r="23" spans="1:13" x14ac:dyDescent="0.3">
      <c r="B23" s="8" t="s">
        <v>1236</v>
      </c>
      <c r="E23" s="189">
        <v>44561</v>
      </c>
      <c r="K23" s="1"/>
    </row>
    <row r="24" spans="1:13" x14ac:dyDescent="0.3">
      <c r="B24" t="s">
        <v>1241</v>
      </c>
      <c r="E24" s="23">
        <f>IF(AND(E22&lt;&gt;"",E23&lt;&gt;""),E23-E22+1,365)</f>
        <v>365</v>
      </c>
      <c r="K24" s="1"/>
    </row>
    <row r="25" spans="1:13" ht="8.4" customHeight="1" x14ac:dyDescent="0.3">
      <c r="K25" s="1"/>
    </row>
    <row r="26" spans="1:13" x14ac:dyDescent="0.3">
      <c r="B26" s="8" t="s">
        <v>54</v>
      </c>
      <c r="K26" s="1"/>
      <c r="L26" t="s">
        <v>1285</v>
      </c>
      <c r="M26" t="s">
        <v>1286</v>
      </c>
    </row>
    <row r="27" spans="1:13" ht="8.4" customHeight="1" x14ac:dyDescent="0.3">
      <c r="K27" s="1"/>
    </row>
    <row r="28" spans="1:13" x14ac:dyDescent="0.3">
      <c r="A28" s="87"/>
      <c r="B28" t="s">
        <v>551</v>
      </c>
      <c r="E28" s="192"/>
      <c r="F28" t="s">
        <v>447</v>
      </c>
      <c r="G28" s="113">
        <f>EmissionsfaktorErdgasM3</f>
        <v>2.4710000000000001</v>
      </c>
      <c r="H28" s="111">
        <f>E28*G28</f>
        <v>0</v>
      </c>
      <c r="K28" s="1"/>
      <c r="L28" s="31">
        <f>EmissionsfaktorErdgasM3/EmissionsfaktorErdgasKWH</f>
        <v>9.8094481937276701</v>
      </c>
      <c r="M28" s="34">
        <f>E28*L28</f>
        <v>0</v>
      </c>
    </row>
    <row r="29" spans="1:13" x14ac:dyDescent="0.3">
      <c r="D29" s="256" t="s">
        <v>55</v>
      </c>
      <c r="E29" s="251"/>
      <c r="F29" t="s">
        <v>48</v>
      </c>
      <c r="G29" s="198">
        <f>EmissionsfaktorErdgasKWH</f>
        <v>0.25190000000000001</v>
      </c>
      <c r="H29" s="111">
        <f t="shared" ref="H29:H34" si="0">E29*G29</f>
        <v>0</v>
      </c>
      <c r="K29" s="1"/>
      <c r="L29" s="31">
        <v>1</v>
      </c>
      <c r="M29" s="34">
        <f>E29*L29</f>
        <v>0</v>
      </c>
    </row>
    <row r="30" spans="1:13" ht="5.4" customHeight="1" x14ac:dyDescent="0.3">
      <c r="K30" s="1"/>
      <c r="M30" s="74"/>
    </row>
    <row r="31" spans="1:13" x14ac:dyDescent="0.3">
      <c r="B31" t="s">
        <v>53</v>
      </c>
      <c r="E31" s="192">
        <v>9999</v>
      </c>
      <c r="F31" t="s">
        <v>50</v>
      </c>
      <c r="G31" s="113">
        <f>EmissionsfaktorHeizölLiter</f>
        <v>3.1779999999999999</v>
      </c>
      <c r="H31" s="111">
        <f t="shared" si="0"/>
        <v>31776.822</v>
      </c>
      <c r="K31" s="1"/>
      <c r="L31" s="31">
        <f>EmissionsfaktorHeizölLiter/EmissionsfaktorHeizölKWH</f>
        <v>9.9937106918238996</v>
      </c>
      <c r="M31" s="34">
        <f>E31*L31</f>
        <v>99927.113207547169</v>
      </c>
    </row>
    <row r="32" spans="1:13" x14ac:dyDescent="0.3">
      <c r="D32" s="256" t="s">
        <v>55</v>
      </c>
      <c r="E32" s="251"/>
      <c r="F32" t="s">
        <v>48</v>
      </c>
      <c r="G32" s="113">
        <f>EmissionsfaktorHeizölKWH</f>
        <v>0.318</v>
      </c>
      <c r="H32" s="111">
        <f t="shared" si="0"/>
        <v>0</v>
      </c>
      <c r="K32" s="1"/>
      <c r="L32" s="31">
        <v>1</v>
      </c>
      <c r="M32" s="34">
        <f t="shared" ref="M32:M42" si="1">E32*L32</f>
        <v>0</v>
      </c>
    </row>
    <row r="33" spans="1:13" ht="4.8" customHeight="1" x14ac:dyDescent="0.3">
      <c r="K33" s="1"/>
      <c r="M33" s="74"/>
    </row>
    <row r="34" spans="1:13" x14ac:dyDescent="0.3">
      <c r="B34" t="s">
        <v>60</v>
      </c>
      <c r="E34" s="192"/>
      <c r="F34" t="s">
        <v>51</v>
      </c>
      <c r="G34" s="113">
        <f>EmissionsfaktorHolzhackschnitzelKG</f>
        <v>7.3999999999999996E-2</v>
      </c>
      <c r="H34" s="111">
        <f t="shared" si="0"/>
        <v>0</v>
      </c>
      <c r="K34" s="1"/>
      <c r="L34" s="31">
        <v>3.3</v>
      </c>
      <c r="M34" s="34">
        <f t="shared" si="1"/>
        <v>0</v>
      </c>
    </row>
    <row r="35" spans="1:13" x14ac:dyDescent="0.3">
      <c r="D35" s="256" t="s">
        <v>55</v>
      </c>
      <c r="E35" s="251"/>
      <c r="F35" t="s">
        <v>48</v>
      </c>
      <c r="G35" s="113">
        <f>EmissionsfaktorHolzhackschnitzelKG/3.3</f>
        <v>2.2424242424242423E-2</v>
      </c>
      <c r="H35" s="111">
        <f>E35*G35</f>
        <v>0</v>
      </c>
      <c r="K35" s="1"/>
      <c r="L35" s="31">
        <v>1</v>
      </c>
      <c r="M35" s="34">
        <f t="shared" si="1"/>
        <v>0</v>
      </c>
    </row>
    <row r="36" spans="1:13" x14ac:dyDescent="0.3">
      <c r="D36" s="256" t="s">
        <v>55</v>
      </c>
      <c r="E36" s="251"/>
      <c r="F36" t="s">
        <v>537</v>
      </c>
      <c r="G36" s="113">
        <f>EmissionsfaktorHolzhackschnitzelSRM</f>
        <v>22.2</v>
      </c>
      <c r="H36" s="111">
        <f>E36*G36</f>
        <v>0</v>
      </c>
      <c r="K36" s="1"/>
      <c r="L36" s="31">
        <f>EmissionsfaktorHolzhackschnitzelSRM/EmissionsfaktorHolzhackschnitzelKG*3.3</f>
        <v>990</v>
      </c>
      <c r="M36" s="34">
        <f t="shared" si="1"/>
        <v>0</v>
      </c>
    </row>
    <row r="37" spans="1:13" ht="4.8" customHeight="1" x14ac:dyDescent="0.3">
      <c r="K37" s="1"/>
      <c r="M37" s="74"/>
    </row>
    <row r="38" spans="1:13" x14ac:dyDescent="0.3">
      <c r="B38" t="s">
        <v>61</v>
      </c>
      <c r="E38" s="192"/>
      <c r="F38" t="s">
        <v>51</v>
      </c>
      <c r="G38" s="113">
        <f>EmissionsfaktorHolzPelletsKG</f>
        <v>0.12</v>
      </c>
      <c r="H38" s="111">
        <f t="shared" ref="H38" si="2">E38*G38</f>
        <v>0</v>
      </c>
      <c r="K38" s="1"/>
      <c r="L38" s="31">
        <v>3.3</v>
      </c>
      <c r="M38" s="34">
        <f t="shared" si="1"/>
        <v>0</v>
      </c>
    </row>
    <row r="39" spans="1:13" x14ac:dyDescent="0.3">
      <c r="D39" s="256" t="s">
        <v>55</v>
      </c>
      <c r="E39" s="251"/>
      <c r="F39" t="s">
        <v>48</v>
      </c>
      <c r="G39" s="113">
        <f>EmissionsfaktorHolzPelletsKG/3.3</f>
        <v>3.6363636363636362E-2</v>
      </c>
      <c r="H39" s="111">
        <f>E39*G39</f>
        <v>0</v>
      </c>
      <c r="K39" s="1"/>
      <c r="L39" s="31">
        <v>1</v>
      </c>
      <c r="M39" s="34">
        <f t="shared" si="1"/>
        <v>0</v>
      </c>
    </row>
    <row r="40" spans="1:13" ht="6" customHeight="1" x14ac:dyDescent="0.3">
      <c r="K40" s="1"/>
      <c r="M40" s="74"/>
    </row>
    <row r="41" spans="1:13" x14ac:dyDescent="0.3">
      <c r="B41" t="s">
        <v>56</v>
      </c>
      <c r="E41" s="192"/>
      <c r="F41" t="s">
        <v>48</v>
      </c>
      <c r="G41" s="113">
        <f>EmissionsfaktorFernwärmeKWH</f>
        <v>0.26100000000000001</v>
      </c>
      <c r="H41" s="111">
        <f>E41*G41</f>
        <v>0</v>
      </c>
      <c r="K41" s="1"/>
      <c r="L41" s="31">
        <v>1</v>
      </c>
      <c r="M41" s="34">
        <f t="shared" si="1"/>
        <v>0</v>
      </c>
    </row>
    <row r="42" spans="1:13" x14ac:dyDescent="0.3">
      <c r="B42" t="s">
        <v>62</v>
      </c>
      <c r="E42" s="192"/>
      <c r="F42" t="s">
        <v>48</v>
      </c>
      <c r="G42" s="113">
        <f>EmissionsfaktorStrom</f>
        <v>0.5</v>
      </c>
      <c r="H42" s="111">
        <f t="shared" ref="H42" si="3">E42*G42</f>
        <v>0</v>
      </c>
      <c r="K42" s="1"/>
      <c r="L42" s="31">
        <v>1</v>
      </c>
      <c r="M42" s="34">
        <f t="shared" si="1"/>
        <v>0</v>
      </c>
    </row>
    <row r="43" spans="1:13" ht="8.4" customHeight="1" x14ac:dyDescent="0.3">
      <c r="K43" s="1"/>
      <c r="M43" s="74"/>
    </row>
    <row r="44" spans="1:13" x14ac:dyDescent="0.3">
      <c r="B44" s="8" t="s">
        <v>548</v>
      </c>
      <c r="K44" s="1"/>
      <c r="M44" s="74"/>
    </row>
    <row r="45" spans="1:13" x14ac:dyDescent="0.3">
      <c r="A45" s="87"/>
      <c r="B45" t="s">
        <v>52</v>
      </c>
      <c r="E45" s="192"/>
      <c r="F45" t="s">
        <v>447</v>
      </c>
      <c r="G45" s="113">
        <f>EmissionsfaktorErdgasM3</f>
        <v>2.4710000000000001</v>
      </c>
      <c r="H45" s="111">
        <f>E45*G45</f>
        <v>0</v>
      </c>
      <c r="K45" s="1"/>
      <c r="L45" s="31">
        <f>EmissionsfaktorErdgasM3/EmissionsfaktorErdgasKWH*64%</f>
        <v>6.2780468439857087</v>
      </c>
      <c r="M45" s="34">
        <f t="shared" ref="M45:M46" si="4">E45*L45</f>
        <v>0</v>
      </c>
    </row>
    <row r="46" spans="1:13" x14ac:dyDescent="0.3">
      <c r="D46" s="256" t="s">
        <v>55</v>
      </c>
      <c r="E46" s="251"/>
      <c r="F46" t="s">
        <v>48</v>
      </c>
      <c r="G46" s="113">
        <f>EmissionsfaktorErdgasKWH</f>
        <v>0.25190000000000001</v>
      </c>
      <c r="H46" s="111">
        <f t="shared" ref="H46" si="5">E46*G46</f>
        <v>0</v>
      </c>
      <c r="K46" s="1"/>
      <c r="L46" s="31">
        <f>1*64%</f>
        <v>0.64</v>
      </c>
      <c r="M46" s="34">
        <f t="shared" si="4"/>
        <v>0</v>
      </c>
    </row>
    <row r="47" spans="1:13" x14ac:dyDescent="0.3">
      <c r="B47" t="s">
        <v>547</v>
      </c>
      <c r="E47" s="192"/>
      <c r="F47" t="s">
        <v>48</v>
      </c>
      <c r="G47" s="113">
        <f>EmissionsfaktorStrom</f>
        <v>0.5</v>
      </c>
      <c r="H47" s="111">
        <f>-E47*G47</f>
        <v>0</v>
      </c>
      <c r="K47" s="1"/>
    </row>
    <row r="48" spans="1:13" ht="15" thickBot="1" x14ac:dyDescent="0.35">
      <c r="K48" s="1"/>
    </row>
    <row r="49" spans="2:15" ht="15" thickTop="1" x14ac:dyDescent="0.3">
      <c r="B49" s="8"/>
      <c r="G49" s="8" t="s">
        <v>57</v>
      </c>
      <c r="H49" s="138">
        <f>SUM(H28:H47)</f>
        <v>31776.822</v>
      </c>
      <c r="K49" s="1"/>
      <c r="M49" s="83">
        <f>SUM(M28:M46)</f>
        <v>99927.113207547169</v>
      </c>
    </row>
    <row r="50" spans="2:15" x14ac:dyDescent="0.3">
      <c r="B50" t="s">
        <v>366</v>
      </c>
      <c r="G50" t="s">
        <v>58</v>
      </c>
      <c r="H50" s="24">
        <f>$E$24</f>
        <v>365</v>
      </c>
      <c r="K50" s="1"/>
      <c r="M50" s="24">
        <f>$E$24</f>
        <v>365</v>
      </c>
      <c r="N50" t="s">
        <v>1287</v>
      </c>
      <c r="O50" s="192">
        <v>100</v>
      </c>
    </row>
    <row r="51" spans="2:15" ht="15.6" x14ac:dyDescent="0.35">
      <c r="B51" t="s">
        <v>59</v>
      </c>
      <c r="G51" s="15" t="s">
        <v>446</v>
      </c>
      <c r="H51" s="112">
        <f>H49/H50*365</f>
        <v>31776.822000000004</v>
      </c>
      <c r="K51" s="1"/>
      <c r="M51" s="516">
        <f>MROUND(M49/M50*365,O50)</f>
        <v>99900</v>
      </c>
    </row>
    <row r="52" spans="2:15" x14ac:dyDescent="0.3">
      <c r="B52" s="374" t="str">
        <f>IF(VerbrauchsanteilSchuleWaerme&lt;&gt;100%,"Hinweis: Zur Berechnung der CO2-Bilanz werden nur "&amp;TEXT(VerbrauchsanteilSchuleWaerme,"0 %")&amp;" der hier angegebenen Emissionen verwendet.","")</f>
        <v>Hinweis: Zur Berechnung der CO2-Bilanz werden nur 50 % der hier angegebenen Emissionen verwendet.</v>
      </c>
      <c r="K52" s="1"/>
    </row>
    <row r="53" spans="2:15" x14ac:dyDescent="0.3">
      <c r="B53" s="374" t="str">
        <f>IF(VerbrauchsanteilSchuleWaerme&lt;&gt;100%,"Dies entspricht "&amp;TEXT(Einstellungen!$H$27,"#.##0")&amp;" kg CO2. Der Anteil der Schule kann im Tabellenblatt Einstellungen geändert werden.","")</f>
        <v>Dies entspricht 15.888 kg CO2. Der Anteil der Schule kann im Tabellenblatt Einstellungen geändert werden.</v>
      </c>
      <c r="K53" s="1"/>
      <c r="M53" t="s">
        <v>1288</v>
      </c>
    </row>
    <row r="54" spans="2:15" x14ac:dyDescent="0.3">
      <c r="K54" s="1"/>
      <c r="L54" t="s">
        <v>1289</v>
      </c>
      <c r="M54" s="74">
        <f>Allgemeines!E20</f>
        <v>9999</v>
      </c>
    </row>
    <row r="55" spans="2:15" x14ac:dyDescent="0.3">
      <c r="G55" s="201" t="s">
        <v>564</v>
      </c>
      <c r="H55" s="211" t="s">
        <v>1311</v>
      </c>
      <c r="K55" s="1"/>
      <c r="L55" t="s">
        <v>1290</v>
      </c>
      <c r="M55" s="74">
        <f>Allgemeines!E21</f>
        <v>999</v>
      </c>
    </row>
    <row r="56" spans="2:15" x14ac:dyDescent="0.3">
      <c r="K56" s="1"/>
      <c r="L56" t="s">
        <v>473</v>
      </c>
      <c r="M56" s="517">
        <f>SUM(M54:M55)</f>
        <v>10998</v>
      </c>
    </row>
    <row r="57" spans="2:15" x14ac:dyDescent="0.3">
      <c r="K57" s="1"/>
    </row>
    <row r="58" spans="2:15" ht="18" thickBot="1" x14ac:dyDescent="0.4">
      <c r="B58" s="3" t="s">
        <v>1291</v>
      </c>
      <c r="C58" s="3"/>
      <c r="D58" s="3"/>
      <c r="E58" s="3"/>
      <c r="F58" s="3"/>
      <c r="G58" s="3"/>
      <c r="H58" s="3"/>
      <c r="K58" s="1"/>
      <c r="L58" t="s">
        <v>1292</v>
      </c>
    </row>
    <row r="59" spans="2:15" ht="15" thickTop="1" x14ac:dyDescent="0.3">
      <c r="B59" s="8"/>
      <c r="K59" s="1"/>
      <c r="L59" t="s">
        <v>1382</v>
      </c>
      <c r="M59" s="267" t="b">
        <f>IF(AND(M56&lt;&gt;0,H51&lt;&gt;0),TRUE,FALSE)</f>
        <v>1</v>
      </c>
      <c r="N59" t="s">
        <v>1383</v>
      </c>
    </row>
    <row r="60" spans="2:15" x14ac:dyDescent="0.3">
      <c r="B60" t="str">
        <f>"Der Heizenergiebedarf der Schule beträgt ca. "&amp;TEXT(M51,"#.##0")&amp;" kWh pro Jahr."</f>
        <v>Der Heizenergiebedarf der Schule beträgt ca. 99.900 kWh pro Jahr.</v>
      </c>
      <c r="K60" s="1"/>
      <c r="M60" s="267">
        <f>M51/M56</f>
        <v>9.0834697217675942</v>
      </c>
      <c r="N60" t="s">
        <v>1384</v>
      </c>
    </row>
    <row r="61" spans="2:15" x14ac:dyDescent="0.3">
      <c r="B61" t="str">
        <f>IF(M59,"Umgerechnet auf eine Energienutzfläche von "&amp;TEXT(M56,"#.##0")&amp;" m² entspricht dies "&amp;TEXT(M60,"0,0")&amp;" kwh/(m²*Jahr).",N59)</f>
        <v>Umgerechnet auf eine Energienutzfläche von 10.998 m² entspricht dies 9,1 kwh/(m²*Jahr).</v>
      </c>
      <c r="K61" s="1"/>
    </row>
    <row r="62" spans="2:15" x14ac:dyDescent="0.3">
      <c r="B62" s="8" t="str">
        <f>IF(M59,"Der spezifische Heizenergiebedarf der Schule ist im Vergleich zu anderen Schulen: "&amp;IF(M60&lt;=GrenzwertHeizenergieverbrauchNiedrig,C71,IF(M60&lt;=GrenzwertHeizenergieverbrauchMittel,C72,IF(M60&lt;=GrenzwertHeizenergieverbrauchHoch,C73,C74))),N60)</f>
        <v>Der spezifische Heizenergiebedarf der Schule ist im Vergleich zu anderen Schulen: niedrig</v>
      </c>
      <c r="H62" s="8"/>
      <c r="K62" s="1"/>
    </row>
    <row r="63" spans="2:15" hidden="1" x14ac:dyDescent="0.3">
      <c r="K63" s="1"/>
    </row>
    <row r="64" spans="2:15" hidden="1" x14ac:dyDescent="0.3">
      <c r="K64" s="1"/>
    </row>
    <row r="65" spans="3:19" hidden="1" x14ac:dyDescent="0.3">
      <c r="K65" s="1"/>
    </row>
    <row r="66" spans="3:19" hidden="1" x14ac:dyDescent="0.3">
      <c r="K66" s="1"/>
    </row>
    <row r="67" spans="3:19" hidden="1" x14ac:dyDescent="0.3">
      <c r="K67" s="1"/>
    </row>
    <row r="68" spans="3:19" hidden="1" x14ac:dyDescent="0.3">
      <c r="K68" s="1"/>
    </row>
    <row r="69" spans="3:19" x14ac:dyDescent="0.3">
      <c r="K69" s="1"/>
      <c r="M69" t="s">
        <v>1293</v>
      </c>
    </row>
    <row r="70" spans="3:19" x14ac:dyDescent="0.3">
      <c r="D70" t="s">
        <v>1300</v>
      </c>
      <c r="K70" s="1"/>
    </row>
    <row r="71" spans="3:19" x14ac:dyDescent="0.3">
      <c r="C71" t="s">
        <v>1298</v>
      </c>
      <c r="D71" s="521">
        <f>M72</f>
        <v>60</v>
      </c>
      <c r="K71" s="1"/>
    </row>
    <row r="72" spans="3:19" x14ac:dyDescent="0.3">
      <c r="C72" t="s">
        <v>1299</v>
      </c>
      <c r="D72" s="521">
        <f>M73-M72</f>
        <v>40</v>
      </c>
      <c r="K72" s="1"/>
      <c r="L72" t="s">
        <v>1298</v>
      </c>
      <c r="M72">
        <f>GrenzwertHeizenergieverbrauchNiedrig</f>
        <v>60</v>
      </c>
    </row>
    <row r="73" spans="3:19" x14ac:dyDescent="0.3">
      <c r="C73" t="s">
        <v>1378</v>
      </c>
      <c r="D73" s="521">
        <f>M74-M73</f>
        <v>30</v>
      </c>
      <c r="K73" s="1"/>
      <c r="L73" t="s">
        <v>1299</v>
      </c>
      <c r="M73">
        <f>GrenzwertHeizenergieverbrauchMittel</f>
        <v>100</v>
      </c>
    </row>
    <row r="74" spans="3:19" x14ac:dyDescent="0.3">
      <c r="C74" t="s">
        <v>1379</v>
      </c>
      <c r="D74" s="521">
        <f>200-SUM(D71:D73)</f>
        <v>70</v>
      </c>
      <c r="K74" s="1"/>
      <c r="L74" t="s">
        <v>1378</v>
      </c>
      <c r="M74">
        <f>GrenzwertHeizenergieverbrauchHoch</f>
        <v>130</v>
      </c>
    </row>
    <row r="75" spans="3:19" x14ac:dyDescent="0.3">
      <c r="K75" s="1"/>
      <c r="L75" t="s">
        <v>1379</v>
      </c>
    </row>
    <row r="76" spans="3:19" x14ac:dyDescent="0.3">
      <c r="K76" s="1"/>
    </row>
    <row r="77" spans="3:19" x14ac:dyDescent="0.3">
      <c r="K77" s="1"/>
    </row>
    <row r="78" spans="3:19" x14ac:dyDescent="0.3">
      <c r="K78" s="1"/>
    </row>
    <row r="79" spans="3:19" x14ac:dyDescent="0.3">
      <c r="K79" s="1"/>
      <c r="M79" s="522" t="s">
        <v>1301</v>
      </c>
      <c r="N79" s="523" t="s">
        <v>1302</v>
      </c>
      <c r="O79" s="524" t="s">
        <v>1303</v>
      </c>
      <c r="P79" s="525" t="s">
        <v>1304</v>
      </c>
      <c r="Q79" s="526" t="s">
        <v>1305</v>
      </c>
      <c r="R79" s="527" t="s">
        <v>1306</v>
      </c>
      <c r="S79" s="528" t="s">
        <v>1307</v>
      </c>
    </row>
    <row r="80" spans="3:19" x14ac:dyDescent="0.3">
      <c r="K80" s="1"/>
    </row>
    <row r="81" spans="11:11" hidden="1" x14ac:dyDescent="0.3">
      <c r="K81" s="1"/>
    </row>
    <row r="82" spans="11:11" x14ac:dyDescent="0.3">
      <c r="K82" s="1"/>
    </row>
    <row r="83" spans="11:11" x14ac:dyDescent="0.3">
      <c r="K83" s="1"/>
    </row>
    <row r="84" spans="11:11" x14ac:dyDescent="0.3">
      <c r="K84" s="1"/>
    </row>
    <row r="85" spans="11:11" x14ac:dyDescent="0.3">
      <c r="K85" s="1"/>
    </row>
    <row r="86" spans="11:11" x14ac:dyDescent="0.3">
      <c r="K86" s="1"/>
    </row>
  </sheetData>
  <sheetProtection algorithmName="SHA-512" hashValue="IRYdgAa5trWGDpeTsMWhw6ALy3vKtbJCzFi7AYdUAZ0d+KzUlJtQeoGpfPN3Y+nsyrBcgcvCxylcjTRvM4Hk0Q==" saltValue="c+qXjwK1WsNNFSzHA1P9AQ==" spinCount="100000" sheet="1" objects="1" scenarios="1"/>
  <mergeCells count="1">
    <mergeCell ref="B9:I20"/>
  </mergeCells>
  <conditionalFormatting sqref="B60">
    <cfRule type="duplicateValues" dxfId="14" priority="1"/>
  </conditionalFormatting>
  <conditionalFormatting sqref="B64 E60">
    <cfRule type="duplicateValues" dxfId="13" priority="4"/>
  </conditionalFormatting>
  <conditionalFormatting sqref="E66">
    <cfRule type="duplicateValues" dxfId="12" priority="2"/>
  </conditionalFormatting>
  <hyperlinks>
    <hyperlink ref="A5" location="Inhalt!A1" display="&lt;= Start"/>
    <hyperlink ref="G55" location="Inhalt!A1" display="&lt;== zur Übersicht"/>
    <hyperlink ref="H55" location="Ergebnis!A1" display="zum Ergebnis ==&gt;"/>
  </hyperlinks>
  <pageMargins left="0.7" right="0.7" top="0.75" bottom="0.75"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18800"/>
  </sheetPr>
  <dimension ref="A1:N79"/>
  <sheetViews>
    <sheetView showGridLines="0" workbookViewId="0">
      <selection activeCell="B41" sqref="B41"/>
    </sheetView>
  </sheetViews>
  <sheetFormatPr baseColWidth="10" defaultColWidth="0" defaultRowHeight="14.4" zeroHeight="1" x14ac:dyDescent="0.3"/>
  <cols>
    <col min="1" max="1" width="8.88671875" customWidth="1"/>
    <col min="2" max="2" width="15.44140625" customWidth="1"/>
    <col min="3" max="3" width="8.88671875" customWidth="1"/>
    <col min="4" max="4" width="16.21875" customWidth="1"/>
    <col min="5" max="5" width="23.88671875" customWidth="1"/>
    <col min="6" max="6" width="8.88671875" customWidth="1"/>
    <col min="7" max="7" width="9.33203125" customWidth="1"/>
    <col min="8" max="8" width="13.33203125" customWidth="1"/>
    <col min="9" max="11" width="8.88671875" customWidth="1"/>
    <col min="12" max="12" width="1.77734375" hidden="1" customWidth="1"/>
    <col min="13" max="16384" width="8.88671875" hidden="1"/>
  </cols>
  <sheetData>
    <row r="1" spans="1:12" ht="12" customHeight="1" x14ac:dyDescent="0.3">
      <c r="A1" s="1"/>
      <c r="B1" s="1"/>
      <c r="C1" s="1"/>
      <c r="D1" s="1"/>
      <c r="E1" s="1"/>
      <c r="F1" s="1"/>
      <c r="G1" s="1"/>
      <c r="H1" s="1"/>
      <c r="I1" s="1"/>
      <c r="J1" s="1"/>
      <c r="K1" s="1"/>
      <c r="L1" s="1"/>
    </row>
    <row r="2" spans="1:12" ht="12" customHeight="1" x14ac:dyDescent="0.3">
      <c r="A2" s="1"/>
      <c r="B2" s="1"/>
      <c r="C2" s="1"/>
      <c r="D2" s="1"/>
      <c r="E2" s="1"/>
      <c r="F2" s="1"/>
      <c r="G2" s="1"/>
      <c r="H2" s="1"/>
      <c r="I2" s="1"/>
      <c r="J2" s="1"/>
      <c r="K2" s="1"/>
      <c r="L2" s="1"/>
    </row>
    <row r="3" spans="1:12" ht="32.4" customHeight="1" x14ac:dyDescent="0.55000000000000004">
      <c r="A3" s="1"/>
      <c r="B3" s="1"/>
      <c r="C3" s="1"/>
      <c r="D3" s="2" t="s">
        <v>6</v>
      </c>
      <c r="E3" s="1"/>
      <c r="F3" s="1"/>
      <c r="G3" s="1"/>
      <c r="H3" s="1"/>
      <c r="I3" s="1"/>
      <c r="J3" s="1"/>
      <c r="K3" s="2"/>
      <c r="L3" s="1"/>
    </row>
    <row r="4" spans="1:12" ht="18.45" customHeight="1" thickBot="1" x14ac:dyDescent="0.4">
      <c r="A4" s="28"/>
      <c r="B4" s="93"/>
      <c r="C4" s="28"/>
      <c r="D4" s="340" t="str">
        <f>NameDerSchule</f>
        <v>Schule ABC</v>
      </c>
      <c r="E4" s="28"/>
      <c r="F4" s="28"/>
      <c r="G4" s="28"/>
      <c r="H4" s="28"/>
      <c r="I4" s="28"/>
      <c r="J4" s="28"/>
      <c r="K4" s="28"/>
      <c r="L4" s="1"/>
    </row>
    <row r="5" spans="1:12" ht="15" thickTop="1" x14ac:dyDescent="0.3">
      <c r="A5" s="26" t="s">
        <v>63</v>
      </c>
      <c r="L5" s="1"/>
    </row>
    <row r="6" spans="1:12" ht="20.399999999999999" thickBot="1" x14ac:dyDescent="0.5">
      <c r="B6" s="3" t="s">
        <v>491</v>
      </c>
      <c r="C6" s="3"/>
      <c r="D6" s="3"/>
      <c r="E6" s="3"/>
      <c r="L6" s="1"/>
    </row>
    <row r="7" spans="1:12" ht="8.4" customHeight="1" thickTop="1" x14ac:dyDescent="0.3">
      <c r="L7" s="1"/>
    </row>
    <row r="8" spans="1:12" ht="16.2" customHeight="1" x14ac:dyDescent="0.3">
      <c r="B8" s="586" t="s">
        <v>1231</v>
      </c>
      <c r="C8" s="587"/>
      <c r="D8" s="587"/>
      <c r="E8" s="587"/>
      <c r="F8" s="587"/>
      <c r="G8" s="587"/>
      <c r="H8" s="587"/>
      <c r="I8" s="587"/>
      <c r="J8" s="588"/>
      <c r="L8" s="1"/>
    </row>
    <row r="9" spans="1:12" ht="16.2" customHeight="1" x14ac:dyDescent="0.3">
      <c r="B9" s="589"/>
      <c r="C9" s="590"/>
      <c r="D9" s="590"/>
      <c r="E9" s="590"/>
      <c r="F9" s="590"/>
      <c r="G9" s="590"/>
      <c r="H9" s="590"/>
      <c r="I9" s="590"/>
      <c r="J9" s="591"/>
      <c r="L9" s="1"/>
    </row>
    <row r="10" spans="1:12" ht="16.2" customHeight="1" x14ac:dyDescent="0.3">
      <c r="B10" s="589"/>
      <c r="C10" s="590"/>
      <c r="D10" s="590"/>
      <c r="E10" s="590"/>
      <c r="F10" s="590"/>
      <c r="G10" s="590"/>
      <c r="H10" s="590"/>
      <c r="I10" s="590"/>
      <c r="J10" s="591"/>
      <c r="L10" s="1"/>
    </row>
    <row r="11" spans="1:12" ht="16.2" customHeight="1" x14ac:dyDescent="0.3">
      <c r="B11" s="589"/>
      <c r="C11" s="590"/>
      <c r="D11" s="590"/>
      <c r="E11" s="590"/>
      <c r="F11" s="590"/>
      <c r="G11" s="590"/>
      <c r="H11" s="590"/>
      <c r="I11" s="590"/>
      <c r="J11" s="591"/>
      <c r="L11" s="1"/>
    </row>
    <row r="12" spans="1:12" ht="16.2" customHeight="1" x14ac:dyDescent="0.3">
      <c r="B12" s="589"/>
      <c r="C12" s="590"/>
      <c r="D12" s="590"/>
      <c r="E12" s="590"/>
      <c r="F12" s="590"/>
      <c r="G12" s="590"/>
      <c r="H12" s="590"/>
      <c r="I12" s="590"/>
      <c r="J12" s="591"/>
      <c r="L12" s="1"/>
    </row>
    <row r="13" spans="1:12" ht="16.2" customHeight="1" x14ac:dyDescent="0.3">
      <c r="B13" s="589"/>
      <c r="C13" s="590"/>
      <c r="D13" s="590"/>
      <c r="E13" s="590"/>
      <c r="F13" s="590"/>
      <c r="G13" s="590"/>
      <c r="H13" s="590"/>
      <c r="I13" s="590"/>
      <c r="J13" s="591"/>
      <c r="L13" s="1"/>
    </row>
    <row r="14" spans="1:12" ht="16.2" customHeight="1" x14ac:dyDescent="0.3">
      <c r="B14" s="589"/>
      <c r="C14" s="590"/>
      <c r="D14" s="590"/>
      <c r="E14" s="590"/>
      <c r="F14" s="590"/>
      <c r="G14" s="590"/>
      <c r="H14" s="590"/>
      <c r="I14" s="590"/>
      <c r="J14" s="591"/>
      <c r="L14" s="1"/>
    </row>
    <row r="15" spans="1:12" ht="16.2" customHeight="1" x14ac:dyDescent="0.3">
      <c r="B15" s="589"/>
      <c r="C15" s="590"/>
      <c r="D15" s="590"/>
      <c r="E15" s="590"/>
      <c r="F15" s="590"/>
      <c r="G15" s="590"/>
      <c r="H15" s="590"/>
      <c r="I15" s="590"/>
      <c r="J15" s="591"/>
      <c r="L15" s="1"/>
    </row>
    <row r="16" spans="1:12" ht="16.2" customHeight="1" x14ac:dyDescent="0.3">
      <c r="B16" s="589"/>
      <c r="C16" s="590"/>
      <c r="D16" s="590"/>
      <c r="E16" s="590"/>
      <c r="F16" s="590"/>
      <c r="G16" s="590"/>
      <c r="H16" s="590"/>
      <c r="I16" s="590"/>
      <c r="J16" s="591"/>
      <c r="L16" s="1"/>
    </row>
    <row r="17" spans="2:12" ht="16.2" customHeight="1" x14ac:dyDescent="0.3">
      <c r="B17" s="592"/>
      <c r="C17" s="593"/>
      <c r="D17" s="593"/>
      <c r="E17" s="593"/>
      <c r="F17" s="593"/>
      <c r="G17" s="593"/>
      <c r="H17" s="593"/>
      <c r="I17" s="593"/>
      <c r="J17" s="594"/>
      <c r="L17" s="1"/>
    </row>
    <row r="18" spans="2:12" x14ac:dyDescent="0.3">
      <c r="L18" s="1"/>
    </row>
    <row r="19" spans="2:12" x14ac:dyDescent="0.3">
      <c r="B19" s="8" t="s">
        <v>567</v>
      </c>
      <c r="E19" s="192">
        <v>99999</v>
      </c>
      <c r="F19" t="s">
        <v>48</v>
      </c>
      <c r="L19" s="1"/>
    </row>
    <row r="20" spans="2:12" x14ac:dyDescent="0.3">
      <c r="L20" s="1"/>
    </row>
    <row r="21" spans="2:12" ht="15" thickBot="1" x14ac:dyDescent="0.35">
      <c r="B21" t="s">
        <v>569</v>
      </c>
      <c r="L21" s="1"/>
    </row>
    <row r="22" spans="2:12" ht="9" customHeight="1" x14ac:dyDescent="0.3">
      <c r="B22" s="212"/>
      <c r="C22" s="213"/>
      <c r="D22" s="213"/>
      <c r="E22" s="213"/>
      <c r="F22" s="214"/>
      <c r="L22" s="1"/>
    </row>
    <row r="23" spans="2:12" x14ac:dyDescent="0.3">
      <c r="B23" s="215" t="s">
        <v>35</v>
      </c>
      <c r="E23" s="189">
        <v>44197</v>
      </c>
      <c r="F23" s="216"/>
      <c r="L23" s="1"/>
    </row>
    <row r="24" spans="2:12" x14ac:dyDescent="0.3">
      <c r="B24" s="215" t="s">
        <v>1236</v>
      </c>
      <c r="E24" s="189">
        <v>44561</v>
      </c>
      <c r="F24" s="216"/>
      <c r="L24" s="1"/>
    </row>
    <row r="25" spans="2:12" x14ac:dyDescent="0.3">
      <c r="B25" s="215" t="s">
        <v>1241</v>
      </c>
      <c r="E25" s="27">
        <f>IF(AND(E23&lt;&gt;"",E24&lt;&gt;""),E24-E23+1,365)</f>
        <v>365</v>
      </c>
      <c r="F25" s="216" t="s">
        <v>568</v>
      </c>
      <c r="L25" s="1"/>
    </row>
    <row r="26" spans="2:12" x14ac:dyDescent="0.3">
      <c r="B26" s="215" t="s">
        <v>367</v>
      </c>
      <c r="E26" s="27">
        <f>E19/E25*365</f>
        <v>99999</v>
      </c>
      <c r="F26" s="216" t="s">
        <v>48</v>
      </c>
      <c r="L26" s="1"/>
    </row>
    <row r="27" spans="2:12" ht="7.8" customHeight="1" thickBot="1" x14ac:dyDescent="0.35">
      <c r="B27" s="217"/>
      <c r="C27" s="218"/>
      <c r="D27" s="218"/>
      <c r="E27" s="218"/>
      <c r="F27" s="219"/>
      <c r="L27" s="1"/>
    </row>
    <row r="28" spans="2:12" x14ac:dyDescent="0.3">
      <c r="L28" s="1"/>
    </row>
    <row r="29" spans="2:12" x14ac:dyDescent="0.3">
      <c r="B29" t="s">
        <v>129</v>
      </c>
      <c r="E29" s="192" t="s">
        <v>27</v>
      </c>
      <c r="L29" s="1"/>
    </row>
    <row r="30" spans="2:12" ht="15.6" x14ac:dyDescent="0.35">
      <c r="B30" t="s">
        <v>492</v>
      </c>
      <c r="E30" s="161">
        <f>EmissionsfaktorStrom</f>
        <v>0.5</v>
      </c>
      <c r="L30" s="1"/>
    </row>
    <row r="31" spans="2:12" x14ac:dyDescent="0.3">
      <c r="L31" s="1"/>
    </row>
    <row r="32" spans="2:12" x14ac:dyDescent="0.3">
      <c r="B32" t="s">
        <v>493</v>
      </c>
      <c r="E32" s="112">
        <f>E26*E30</f>
        <v>49999.5</v>
      </c>
      <c r="L32" s="1"/>
    </row>
    <row r="33" spans="2:14" x14ac:dyDescent="0.3">
      <c r="B33" s="374" t="str">
        <f>IF(VerbrauchsanteilSchuleStrom&lt;&gt;100%,"Hinweis: Zur Berechnung der CO2-Bilanz werden nur "&amp;TEXT(VerbrauchsanteilSchuleStrom,"0 %")&amp;" der hier angegebenen Emissionen verwendet.","")</f>
        <v>Hinweis: Zur Berechnung der CO2-Bilanz werden nur 50 % der hier angegebenen Emissionen verwendet.</v>
      </c>
      <c r="L33" s="1"/>
    </row>
    <row r="34" spans="2:14" x14ac:dyDescent="0.3">
      <c r="B34" s="374" t="str">
        <f>IF(VerbrauchsanteilSchuleStrom&lt;&gt;100%,"Dies entspricht "&amp;TEXT($E$32*VerbrauchsanteilSchuleStrom,"#.##0")&amp;" kg CO2. Der Anteil der Schule kann im Tabellenblatt Einstellungen geändert werden.","")</f>
        <v>Dies entspricht 25.000 kg CO2. Der Anteil der Schule kann im Tabellenblatt Einstellungen geändert werden.</v>
      </c>
      <c r="L34" s="1"/>
    </row>
    <row r="35" spans="2:14" x14ac:dyDescent="0.3">
      <c r="L35" s="1"/>
    </row>
    <row r="36" spans="2:14" x14ac:dyDescent="0.3">
      <c r="B36" s="595" t="s">
        <v>564</v>
      </c>
      <c r="C36" s="595"/>
      <c r="E36" s="596" t="s">
        <v>1311</v>
      </c>
      <c r="F36" s="596"/>
      <c r="L36" s="1"/>
    </row>
    <row r="37" spans="2:14" x14ac:dyDescent="0.3">
      <c r="L37" s="1"/>
    </row>
    <row r="38" spans="2:14" x14ac:dyDescent="0.3">
      <c r="L38" s="1"/>
    </row>
    <row r="39" spans="2:14" ht="18" thickBot="1" x14ac:dyDescent="0.4">
      <c r="B39" s="3" t="s">
        <v>1310</v>
      </c>
      <c r="C39" s="3"/>
      <c r="D39" s="3"/>
      <c r="E39" s="3"/>
      <c r="F39" s="3"/>
      <c r="G39" s="3"/>
      <c r="H39" s="3"/>
      <c r="L39" s="1"/>
    </row>
    <row r="40" spans="2:14" ht="15" thickTop="1" x14ac:dyDescent="0.3">
      <c r="B40" s="8"/>
      <c r="L40" s="1"/>
    </row>
    <row r="41" spans="2:14" x14ac:dyDescent="0.3">
      <c r="B41" t="str">
        <f>IF(OR(AnzahlSchueler=0,AnzahlSchueler=""),"Der Wert kann nicht berechnet werden, da die Anzahl der Schüler:innen fehlt.","Der Stromverbrauch pro Schüler:in beträgt "&amp;TEXT(E26/AnzahlSchueler,"#.##0")&amp;" kWh pro Jahr.")</f>
        <v>Der Stromverbrauch pro Schüler:in beträgt 100 kWh pro Jahr.</v>
      </c>
      <c r="L41" s="1"/>
      <c r="M41">
        <f>E26/AnzahlSchueler</f>
        <v>100.09909909909909</v>
      </c>
      <c r="N41">
        <f>AnzahlSchueler</f>
        <v>999</v>
      </c>
    </row>
    <row r="42" spans="2:14" x14ac:dyDescent="0.3">
      <c r="B42" s="8" t="str">
        <f>"Im Vergleich zu anderen Schulen ist dieser Verbrauch: "&amp;IF(M41&lt;=GrenzwertHeizenergieverbrauchNiedrig,C47,IF(M41&lt;=GrenzwertHeizenergieverbrauchMittel,C48,IF(M41&lt;=GrenzwertHeizenergieverbrauchHoch,C49,C49)))</f>
        <v>Im Vergleich zu anderen Schulen ist dieser Verbrauch: hoch</v>
      </c>
      <c r="H42" s="8"/>
      <c r="L42" s="1"/>
    </row>
    <row r="43" spans="2:14" x14ac:dyDescent="0.3">
      <c r="L43" s="1"/>
    </row>
    <row r="44" spans="2:14" ht="15" customHeight="1" x14ac:dyDescent="0.3">
      <c r="L44" s="1"/>
    </row>
    <row r="45" spans="2:14" x14ac:dyDescent="0.3">
      <c r="L45" s="1"/>
    </row>
    <row r="46" spans="2:14" x14ac:dyDescent="0.3">
      <c r="D46" t="s">
        <v>1300</v>
      </c>
      <c r="L46" s="1"/>
    </row>
    <row r="47" spans="2:14" x14ac:dyDescent="0.3">
      <c r="C47" t="s">
        <v>1298</v>
      </c>
      <c r="D47" s="529">
        <f>N47</f>
        <v>150</v>
      </c>
      <c r="L47" s="1"/>
      <c r="M47" t="s">
        <v>1298</v>
      </c>
      <c r="N47">
        <f>GrenzwertStromverbrauchNiedrig</f>
        <v>150</v>
      </c>
    </row>
    <row r="48" spans="2:14" x14ac:dyDescent="0.3">
      <c r="C48" t="s">
        <v>1299</v>
      </c>
      <c r="D48" s="529">
        <f>N48-N47</f>
        <v>100</v>
      </c>
      <c r="L48" s="1"/>
      <c r="M48" t="s">
        <v>1299</v>
      </c>
      <c r="N48">
        <f>GrenzwertStromverbrauchMittel</f>
        <v>250</v>
      </c>
    </row>
    <row r="49" spans="3:13" x14ac:dyDescent="0.3">
      <c r="C49" t="s">
        <v>1297</v>
      </c>
      <c r="D49" s="529">
        <f>400-SUM(D47:D48)</f>
        <v>150</v>
      </c>
      <c r="L49" s="1"/>
      <c r="M49" t="s">
        <v>1297</v>
      </c>
    </row>
    <row r="50" spans="3:13" x14ac:dyDescent="0.3">
      <c r="L50" s="1"/>
    </row>
    <row r="51" spans="3:13" x14ac:dyDescent="0.3">
      <c r="L51" s="1"/>
    </row>
    <row r="52" spans="3:13" x14ac:dyDescent="0.3">
      <c r="L52" s="1"/>
    </row>
    <row r="53" spans="3:13" x14ac:dyDescent="0.3">
      <c r="L53" s="1"/>
    </row>
    <row r="54" spans="3:13" x14ac:dyDescent="0.3">
      <c r="L54" s="1"/>
    </row>
    <row r="55" spans="3:13" x14ac:dyDescent="0.3">
      <c r="L55" s="1"/>
    </row>
    <row r="56" spans="3:13" x14ac:dyDescent="0.3">
      <c r="L56" s="1"/>
    </row>
    <row r="57" spans="3:13" x14ac:dyDescent="0.3">
      <c r="L57" s="1"/>
    </row>
    <row r="58" spans="3:13" x14ac:dyDescent="0.3"/>
    <row r="59" spans="3:13" x14ac:dyDescent="0.3"/>
    <row r="60" spans="3:13" x14ac:dyDescent="0.3"/>
    <row r="61" spans="3:13" x14ac:dyDescent="0.3"/>
    <row r="62" spans="3:13" x14ac:dyDescent="0.3"/>
    <row r="63" spans="3:13" x14ac:dyDescent="0.3"/>
    <row r="64" spans="3:13"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sheetData>
  <sheetProtection algorithmName="SHA-512" hashValue="/S9gCIr43t8yXTQoJk8CwpHF7y/2Jzuu4IiwGPeUruCRjNVjWbo/ZgdhhxywJv4DNrMGQ99C89b61zZPn8Npww==" saltValue="B1cxTDWoV4QMkXqBjK1B8g==" spinCount="100000" sheet="1" objects="1" scenarios="1"/>
  <mergeCells count="3">
    <mergeCell ref="B8:J17"/>
    <mergeCell ref="B36:C36"/>
    <mergeCell ref="E36:F36"/>
  </mergeCells>
  <phoneticPr fontId="39" type="noConversion"/>
  <conditionalFormatting sqref="B41">
    <cfRule type="duplicateValues" dxfId="11" priority="1"/>
  </conditionalFormatting>
  <conditionalFormatting sqref="E41">
    <cfRule type="duplicateValues" dxfId="10" priority="15"/>
  </conditionalFormatting>
  <hyperlinks>
    <hyperlink ref="A5" location="Inhalt!A1" display="&lt;= Start"/>
    <hyperlink ref="B36" location="Inhalt!A1" display="&lt;== zur Übersicht"/>
    <hyperlink ref="E36" location="Ergebnis!A1" display="zum Ergebnis ==&gt;"/>
  </hyperlinks>
  <pageMargins left="0.7" right="0.7" top="0.75" bottom="0.75" header="0.3" footer="0.3"/>
  <pageSetup paperSize="9" orientation="portrait"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Hinweis Ökostrom" prompt="Für Ökostrom sind die gleichen Emissionsfaktoren hinterlegt wie für den Strommix (Graustrom). Im Informationskasten ist erklärt warum.">
          <x14:formula1>
            <xm:f>Lookup!$M$4:$M$7</xm:f>
          </x14:formula1>
          <xm:sqref>E29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18800"/>
  </sheetPr>
  <dimension ref="A1:AO124"/>
  <sheetViews>
    <sheetView showGridLines="0" topLeftCell="A21" workbookViewId="0">
      <selection activeCell="G56" sqref="G56"/>
    </sheetView>
  </sheetViews>
  <sheetFormatPr baseColWidth="10" defaultColWidth="0" defaultRowHeight="14.4" zeroHeight="1" x14ac:dyDescent="0.3"/>
  <cols>
    <col min="1" max="1" width="8.88671875" customWidth="1"/>
    <col min="2" max="2" width="24.109375" customWidth="1"/>
    <col min="3" max="3" width="14.77734375" customWidth="1"/>
    <col min="4" max="4" width="25.44140625" customWidth="1"/>
    <col min="5" max="5" width="12.33203125" customWidth="1"/>
    <col min="6" max="6" width="9.33203125" customWidth="1"/>
    <col min="7" max="7" width="13.33203125" customWidth="1"/>
    <col min="8" max="11" width="8.88671875" customWidth="1"/>
    <col min="12" max="13" width="8.88671875" hidden="1" customWidth="1"/>
    <col min="14" max="14" width="14.33203125" hidden="1" customWidth="1"/>
    <col min="15" max="22" width="8.88671875" hidden="1" customWidth="1"/>
    <col min="23" max="23" width="17.88671875" hidden="1" customWidth="1"/>
    <col min="24" max="40" width="8.88671875" hidden="1" customWidth="1"/>
    <col min="41" max="16384" width="8.88671875" hidden="1"/>
  </cols>
  <sheetData>
    <row r="1" spans="1:41" ht="12" customHeight="1"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12" customHeight="1" x14ac:dyDescent="0.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ht="32.4" customHeight="1" x14ac:dyDescent="0.55000000000000004">
      <c r="A3" s="1"/>
      <c r="B3" s="1"/>
      <c r="C3" s="2" t="s">
        <v>132</v>
      </c>
      <c r="D3" s="1"/>
      <c r="E3" s="1"/>
      <c r="F3" s="2"/>
      <c r="G3" s="2"/>
      <c r="H3" s="1"/>
      <c r="I3" s="1"/>
      <c r="J3" s="2"/>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ht="18.45" customHeight="1" thickBot="1" x14ac:dyDescent="0.4">
      <c r="A4" s="28"/>
      <c r="B4" s="93"/>
      <c r="C4" s="340" t="str">
        <f>NameDerSchule</f>
        <v>Schule ABC</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row>
    <row r="5" spans="1:41" ht="15" thickTop="1" x14ac:dyDescent="0.3">
      <c r="A5" s="26" t="s">
        <v>63</v>
      </c>
    </row>
    <row r="6" spans="1:41" x14ac:dyDescent="0.3"/>
    <row r="7" spans="1:41" ht="18" thickBot="1" x14ac:dyDescent="0.4">
      <c r="B7" s="3" t="s">
        <v>132</v>
      </c>
      <c r="C7" s="3"/>
      <c r="D7" s="3"/>
      <c r="E7" s="3"/>
    </row>
    <row r="8" spans="1:41" ht="15" thickTop="1" x14ac:dyDescent="0.3"/>
    <row r="9" spans="1:41" ht="26.4" customHeight="1" x14ac:dyDescent="0.3">
      <c r="B9" s="586" t="s">
        <v>1232</v>
      </c>
      <c r="C9" s="587"/>
      <c r="D9" s="587"/>
      <c r="E9" s="587"/>
      <c r="F9" s="587"/>
      <c r="G9" s="587"/>
      <c r="H9" s="587"/>
      <c r="I9" s="587"/>
      <c r="J9" s="588"/>
    </row>
    <row r="10" spans="1:41" ht="26.4" customHeight="1" thickBot="1" x14ac:dyDescent="0.35">
      <c r="B10" s="589"/>
      <c r="C10" s="590"/>
      <c r="D10" s="590"/>
      <c r="E10" s="590"/>
      <c r="F10" s="590"/>
      <c r="G10" s="590"/>
      <c r="H10" s="590"/>
      <c r="I10" s="590"/>
      <c r="J10" s="591"/>
    </row>
    <row r="11" spans="1:41" ht="26.4" customHeight="1" x14ac:dyDescent="0.3">
      <c r="B11" s="589"/>
      <c r="C11" s="590"/>
      <c r="D11" s="590"/>
      <c r="E11" s="590"/>
      <c r="F11" s="590"/>
      <c r="G11" s="590"/>
      <c r="H11" s="590"/>
      <c r="I11" s="590"/>
      <c r="J11" s="591"/>
      <c r="V11" s="261" t="s">
        <v>604</v>
      </c>
      <c r="W11" s="262"/>
      <c r="X11" s="263"/>
      <c r="Y11" s="261" t="s">
        <v>605</v>
      </c>
      <c r="Z11" s="262"/>
      <c r="AA11" s="263"/>
    </row>
    <row r="12" spans="1:41" ht="26.4" customHeight="1" x14ac:dyDescent="0.3">
      <c r="B12" s="589"/>
      <c r="C12" s="590"/>
      <c r="D12" s="590"/>
      <c r="E12" s="590"/>
      <c r="F12" s="590"/>
      <c r="G12" s="590"/>
      <c r="H12" s="590"/>
      <c r="I12" s="590"/>
      <c r="J12" s="591"/>
      <c r="V12" s="264" t="s">
        <v>494</v>
      </c>
      <c r="W12" s="8"/>
      <c r="X12" s="265"/>
      <c r="Y12" s="264" t="s">
        <v>494</v>
      </c>
      <c r="Z12" s="8"/>
      <c r="AA12" s="265"/>
    </row>
    <row r="13" spans="1:41" ht="26.4" customHeight="1" x14ac:dyDescent="0.3">
      <c r="B13" s="589"/>
      <c r="C13" s="590"/>
      <c r="D13" s="590"/>
      <c r="E13" s="590"/>
      <c r="F13" s="590"/>
      <c r="G13" s="590"/>
      <c r="H13" s="590"/>
      <c r="I13" s="590"/>
      <c r="J13" s="591"/>
      <c r="V13" s="264" t="s">
        <v>495</v>
      </c>
      <c r="W13" s="266">
        <f>PVKapazität</f>
        <v>99</v>
      </c>
      <c r="X13" s="265"/>
      <c r="Y13" s="264" t="s">
        <v>495</v>
      </c>
      <c r="Z13" s="266">
        <f>PV2Kapazität</f>
        <v>0</v>
      </c>
      <c r="AA13" s="265"/>
    </row>
    <row r="14" spans="1:41" ht="26.4" customHeight="1" x14ac:dyDescent="0.3">
      <c r="B14" s="589"/>
      <c r="C14" s="590"/>
      <c r="D14" s="590"/>
      <c r="E14" s="590"/>
      <c r="F14" s="590"/>
      <c r="G14" s="590"/>
      <c r="H14" s="590"/>
      <c r="I14" s="590"/>
      <c r="J14" s="591"/>
      <c r="V14" s="264" t="s">
        <v>155</v>
      </c>
      <c r="W14" s="267">
        <f>PVAusrichtung</f>
        <v>180</v>
      </c>
      <c r="X14" s="268">
        <f>W14/180*PI()</f>
        <v>3.1415926535897931</v>
      </c>
      <c r="Y14" s="264" t="s">
        <v>155</v>
      </c>
      <c r="Z14" s="267">
        <f>PV2Ausrichtung</f>
        <v>180</v>
      </c>
      <c r="AA14" s="268">
        <f>Z14/180*PI()</f>
        <v>3.1415926535897931</v>
      </c>
    </row>
    <row r="15" spans="1:41" ht="26.4" customHeight="1" x14ac:dyDescent="0.3">
      <c r="B15" s="589"/>
      <c r="C15" s="590"/>
      <c r="D15" s="590"/>
      <c r="E15" s="590"/>
      <c r="F15" s="590"/>
      <c r="G15" s="590"/>
      <c r="H15" s="590"/>
      <c r="I15" s="590"/>
      <c r="J15" s="591"/>
      <c r="V15" s="264" t="s">
        <v>157</v>
      </c>
      <c r="W15" s="270">
        <f>PVNeigung</f>
        <v>45</v>
      </c>
      <c r="X15" s="271">
        <f>W15/180*PI()</f>
        <v>0.78539816339744828</v>
      </c>
      <c r="Y15" s="264" t="s">
        <v>157</v>
      </c>
      <c r="Z15" s="270">
        <f>PV2Neigung</f>
        <v>45</v>
      </c>
      <c r="AA15" s="271">
        <f>Z15/180*PI()</f>
        <v>0.78539816339744828</v>
      </c>
    </row>
    <row r="16" spans="1:41" ht="26.4" customHeight="1" thickBot="1" x14ac:dyDescent="0.35">
      <c r="B16" s="589"/>
      <c r="C16" s="590"/>
      <c r="D16" s="590"/>
      <c r="E16" s="590"/>
      <c r="F16" s="590"/>
      <c r="G16" s="590"/>
      <c r="H16" s="590"/>
      <c r="I16" s="590"/>
      <c r="J16" s="591"/>
    </row>
    <row r="17" spans="2:39" ht="26.4" customHeight="1" thickBot="1" x14ac:dyDescent="0.35">
      <c r="B17" s="592"/>
      <c r="C17" s="593"/>
      <c r="D17" s="593"/>
      <c r="E17" s="593"/>
      <c r="F17" s="593"/>
      <c r="G17" s="593"/>
      <c r="H17" s="593"/>
      <c r="I17" s="593"/>
      <c r="J17" s="594"/>
      <c r="V17" s="261" t="s">
        <v>617</v>
      </c>
      <c r="W17" s="262"/>
      <c r="X17" s="272"/>
      <c r="Y17" s="272"/>
      <c r="Z17" s="272"/>
      <c r="AA17" s="272"/>
      <c r="AB17" s="272"/>
      <c r="AC17" s="272"/>
      <c r="AD17" s="272"/>
      <c r="AE17" s="272"/>
      <c r="AF17" s="272"/>
      <c r="AG17" s="272"/>
      <c r="AH17" s="272"/>
      <c r="AI17" s="272"/>
      <c r="AJ17" s="272"/>
      <c r="AK17" s="272"/>
      <c r="AL17" s="272"/>
      <c r="AM17" s="273"/>
    </row>
    <row r="18" spans="2:39" ht="26.7" customHeight="1" x14ac:dyDescent="0.3">
      <c r="V18" s="63"/>
      <c r="W18" s="262" t="s">
        <v>496</v>
      </c>
      <c r="X18" s="272"/>
      <c r="Y18" s="272">
        <f t="shared" ref="Y18:AM18" si="0">PI()*Y36/180</f>
        <v>1.5707963267948966</v>
      </c>
      <c r="Z18" s="272">
        <f t="shared" si="0"/>
        <v>2.3561944901923448</v>
      </c>
      <c r="AA18" s="272">
        <f t="shared" si="0"/>
        <v>3.1415926535897931</v>
      </c>
      <c r="AB18" s="272">
        <f t="shared" si="0"/>
        <v>3.9269908169872414</v>
      </c>
      <c r="AC18" s="272">
        <f t="shared" si="0"/>
        <v>4.7123889803846897</v>
      </c>
      <c r="AD18" s="272">
        <f t="shared" si="0"/>
        <v>1.5707963267948966</v>
      </c>
      <c r="AE18" s="272">
        <f t="shared" si="0"/>
        <v>2.3561944901923448</v>
      </c>
      <c r="AF18" s="272">
        <f t="shared" si="0"/>
        <v>3.1415926535897931</v>
      </c>
      <c r="AG18" s="272">
        <f t="shared" si="0"/>
        <v>3.9269908169872414</v>
      </c>
      <c r="AH18" s="272">
        <f t="shared" si="0"/>
        <v>4.7123889803846897</v>
      </c>
      <c r="AI18" s="272">
        <f t="shared" si="0"/>
        <v>1.5707963267948966</v>
      </c>
      <c r="AJ18" s="272">
        <f t="shared" si="0"/>
        <v>2.3561944901923448</v>
      </c>
      <c r="AK18" s="272">
        <f t="shared" si="0"/>
        <v>3.1415926535897931</v>
      </c>
      <c r="AL18" s="272">
        <f t="shared" si="0"/>
        <v>3.9269908169872414</v>
      </c>
      <c r="AM18" s="273">
        <f t="shared" si="0"/>
        <v>4.7123889803846897</v>
      </c>
    </row>
    <row r="19" spans="2:39" ht="15" thickBot="1" x14ac:dyDescent="0.35">
      <c r="B19" s="49" t="s">
        <v>604</v>
      </c>
      <c r="C19" s="43"/>
      <c r="D19" s="43"/>
      <c r="V19" s="66"/>
      <c r="W19" s="279" t="s">
        <v>497</v>
      </c>
      <c r="X19" s="67">
        <f>PI()*X37/180</f>
        <v>0</v>
      </c>
      <c r="Y19" s="67">
        <f t="shared" ref="Y19:AM19" si="1">PI()*Y37/180</f>
        <v>0.52359877559829882</v>
      </c>
      <c r="Z19" s="67">
        <f t="shared" si="1"/>
        <v>0.52359877559829882</v>
      </c>
      <c r="AA19" s="67">
        <f t="shared" si="1"/>
        <v>0.52359877559829882</v>
      </c>
      <c r="AB19" s="67">
        <f t="shared" si="1"/>
        <v>0.52359877559829882</v>
      </c>
      <c r="AC19" s="67">
        <f t="shared" si="1"/>
        <v>0.52359877559829882</v>
      </c>
      <c r="AD19" s="67">
        <f t="shared" si="1"/>
        <v>1.0471975511965976</v>
      </c>
      <c r="AE19" s="67">
        <f t="shared" si="1"/>
        <v>1.0471975511965976</v>
      </c>
      <c r="AF19" s="67">
        <f t="shared" si="1"/>
        <v>1.0471975511965976</v>
      </c>
      <c r="AG19" s="67">
        <f t="shared" si="1"/>
        <v>1.0471975511965976</v>
      </c>
      <c r="AH19" s="67">
        <f t="shared" si="1"/>
        <v>1.0471975511965976</v>
      </c>
      <c r="AI19" s="67">
        <f t="shared" si="1"/>
        <v>1.5707963267948966</v>
      </c>
      <c r="AJ19" s="67">
        <f t="shared" si="1"/>
        <v>1.5707963267948966</v>
      </c>
      <c r="AK19" s="67">
        <f t="shared" si="1"/>
        <v>1.5707963267948966</v>
      </c>
      <c r="AL19" s="67">
        <f t="shared" si="1"/>
        <v>1.5707963267948966</v>
      </c>
      <c r="AM19" s="221">
        <f t="shared" si="1"/>
        <v>1.5707963267948966</v>
      </c>
    </row>
    <row r="20" spans="2:39" x14ac:dyDescent="0.3">
      <c r="B20" s="43" t="s">
        <v>180</v>
      </c>
      <c r="C20" s="43"/>
      <c r="D20" s="43"/>
      <c r="V20" s="261" t="s">
        <v>606</v>
      </c>
      <c r="W20" s="272"/>
      <c r="X20" s="272"/>
      <c r="Y20" s="272"/>
      <c r="Z20" s="272"/>
      <c r="AA20" s="272"/>
      <c r="AB20" s="272"/>
      <c r="AC20" s="272"/>
      <c r="AD20" s="272"/>
      <c r="AE20" s="272"/>
      <c r="AF20" s="272"/>
      <c r="AG20" s="272"/>
      <c r="AH20" s="272"/>
      <c r="AI20" s="272"/>
      <c r="AJ20" s="272"/>
      <c r="AK20" s="272"/>
      <c r="AL20" s="272"/>
      <c r="AM20" s="273"/>
    </row>
    <row r="21" spans="2:39" x14ac:dyDescent="0.3">
      <c r="B21" s="49" t="s">
        <v>154</v>
      </c>
      <c r="D21" s="461">
        <v>99</v>
      </c>
      <c r="V21" s="264" t="s">
        <v>496</v>
      </c>
      <c r="W21" t="s">
        <v>1242</v>
      </c>
      <c r="X21">
        <v>1</v>
      </c>
      <c r="Y21">
        <f t="shared" ref="Y21:AM21" si="2">ROUND(IF(ABS($X$14-Y18)&lt;PI()/2,(COS(2*($X$14-Y18)))^2,0),5)</f>
        <v>0</v>
      </c>
      <c r="Z21">
        <f t="shared" si="2"/>
        <v>0</v>
      </c>
      <c r="AA21">
        <f t="shared" si="2"/>
        <v>1</v>
      </c>
      <c r="AB21">
        <f t="shared" si="2"/>
        <v>0</v>
      </c>
      <c r="AC21">
        <f t="shared" si="2"/>
        <v>0</v>
      </c>
      <c r="AD21">
        <f t="shared" si="2"/>
        <v>0</v>
      </c>
      <c r="AE21">
        <f t="shared" si="2"/>
        <v>0</v>
      </c>
      <c r="AF21">
        <f t="shared" si="2"/>
        <v>1</v>
      </c>
      <c r="AG21">
        <f t="shared" si="2"/>
        <v>0</v>
      </c>
      <c r="AH21">
        <f t="shared" si="2"/>
        <v>0</v>
      </c>
      <c r="AI21">
        <f t="shared" si="2"/>
        <v>0</v>
      </c>
      <c r="AJ21">
        <f t="shared" si="2"/>
        <v>0</v>
      </c>
      <c r="AK21">
        <f t="shared" si="2"/>
        <v>1</v>
      </c>
      <c r="AL21">
        <f t="shared" si="2"/>
        <v>0</v>
      </c>
      <c r="AM21" s="274">
        <f t="shared" si="2"/>
        <v>0</v>
      </c>
    </row>
    <row r="22" spans="2:39" x14ac:dyDescent="0.3">
      <c r="B22" s="599" t="s">
        <v>181</v>
      </c>
      <c r="C22" s="599"/>
      <c r="D22" s="599"/>
      <c r="V22" s="264" t="s">
        <v>497</v>
      </c>
      <c r="W22" t="s">
        <v>1242</v>
      </c>
      <c r="X22">
        <f t="shared" ref="X22:AM22" si="3">ROUND(IF(COS(3*($X$15-X19))&gt;0,COS(3*($X$15-X19)),0)^2,5)</f>
        <v>0</v>
      </c>
      <c r="Y22">
        <f t="shared" si="3"/>
        <v>0.5</v>
      </c>
      <c r="Z22">
        <f t="shared" si="3"/>
        <v>0.5</v>
      </c>
      <c r="AA22">
        <f t="shared" si="3"/>
        <v>0.5</v>
      </c>
      <c r="AB22">
        <f t="shared" si="3"/>
        <v>0.5</v>
      </c>
      <c r="AC22">
        <f t="shared" si="3"/>
        <v>0.5</v>
      </c>
      <c r="AD22">
        <f t="shared" si="3"/>
        <v>0.5</v>
      </c>
      <c r="AE22">
        <f t="shared" si="3"/>
        <v>0.5</v>
      </c>
      <c r="AF22">
        <f t="shared" si="3"/>
        <v>0.5</v>
      </c>
      <c r="AG22">
        <f t="shared" si="3"/>
        <v>0.5</v>
      </c>
      <c r="AH22">
        <f t="shared" si="3"/>
        <v>0.5</v>
      </c>
      <c r="AI22">
        <f t="shared" si="3"/>
        <v>0</v>
      </c>
      <c r="AJ22">
        <f t="shared" si="3"/>
        <v>0</v>
      </c>
      <c r="AK22">
        <f t="shared" si="3"/>
        <v>0</v>
      </c>
      <c r="AL22">
        <f t="shared" si="3"/>
        <v>0</v>
      </c>
      <c r="AM22" s="274">
        <f t="shared" si="3"/>
        <v>0</v>
      </c>
    </row>
    <row r="23" spans="2:39" x14ac:dyDescent="0.3">
      <c r="B23" s="599"/>
      <c r="C23" s="599"/>
      <c r="D23" s="599"/>
      <c r="V23" s="264" t="s">
        <v>498</v>
      </c>
      <c r="W23" s="167">
        <f>W13</f>
        <v>99</v>
      </c>
      <c r="AM23" s="274"/>
    </row>
    <row r="24" spans="2:39" x14ac:dyDescent="0.3">
      <c r="B24" s="43" t="s">
        <v>153</v>
      </c>
      <c r="D24" s="462"/>
      <c r="V24" s="64"/>
      <c r="W24" s="164" t="s">
        <v>1243</v>
      </c>
      <c r="X24" s="164">
        <f t="shared" ref="X24:AM24" si="4">X21*X22*$W$23</f>
        <v>0</v>
      </c>
      <c r="Y24" s="164">
        <f t="shared" si="4"/>
        <v>0</v>
      </c>
      <c r="Z24" s="164">
        <f t="shared" si="4"/>
        <v>0</v>
      </c>
      <c r="AA24" s="164">
        <f t="shared" si="4"/>
        <v>49.5</v>
      </c>
      <c r="AB24" s="164">
        <f t="shared" si="4"/>
        <v>0</v>
      </c>
      <c r="AC24" s="164">
        <f t="shared" si="4"/>
        <v>0</v>
      </c>
      <c r="AD24" s="164">
        <f t="shared" si="4"/>
        <v>0</v>
      </c>
      <c r="AE24" s="164">
        <f t="shared" si="4"/>
        <v>0</v>
      </c>
      <c r="AF24" s="164">
        <f t="shared" si="4"/>
        <v>49.5</v>
      </c>
      <c r="AG24" s="164">
        <f t="shared" si="4"/>
        <v>0</v>
      </c>
      <c r="AH24" s="164">
        <f t="shared" si="4"/>
        <v>0</v>
      </c>
      <c r="AI24" s="164">
        <f t="shared" si="4"/>
        <v>0</v>
      </c>
      <c r="AJ24" s="164">
        <f t="shared" si="4"/>
        <v>0</v>
      </c>
      <c r="AK24" s="164">
        <f t="shared" si="4"/>
        <v>0</v>
      </c>
      <c r="AL24" s="164">
        <f t="shared" si="4"/>
        <v>0</v>
      </c>
      <c r="AM24" s="275">
        <f t="shared" si="4"/>
        <v>0</v>
      </c>
    </row>
    <row r="25" spans="2:39" ht="7.95" customHeight="1" thickBot="1" x14ac:dyDescent="0.35">
      <c r="V25" s="276" t="s">
        <v>499</v>
      </c>
      <c r="W25" s="277"/>
      <c r="X25" s="277">
        <f>X24</f>
        <v>0</v>
      </c>
      <c r="Y25" s="277">
        <f t="shared" ref="Y25:AM25" si="5">Y24</f>
        <v>0</v>
      </c>
      <c r="Z25" s="277">
        <f t="shared" si="5"/>
        <v>0</v>
      </c>
      <c r="AA25" s="277">
        <f t="shared" si="5"/>
        <v>49.5</v>
      </c>
      <c r="AB25" s="277">
        <f t="shared" si="5"/>
        <v>0</v>
      </c>
      <c r="AC25" s="277">
        <f>AC24</f>
        <v>0</v>
      </c>
      <c r="AD25" s="277">
        <f t="shared" si="5"/>
        <v>0</v>
      </c>
      <c r="AE25" s="277">
        <f t="shared" si="5"/>
        <v>0</v>
      </c>
      <c r="AF25" s="277">
        <f t="shared" si="5"/>
        <v>49.5</v>
      </c>
      <c r="AG25" s="277">
        <f t="shared" si="5"/>
        <v>0</v>
      </c>
      <c r="AH25" s="277">
        <f t="shared" si="5"/>
        <v>0</v>
      </c>
      <c r="AI25" s="277">
        <f t="shared" si="5"/>
        <v>0</v>
      </c>
      <c r="AJ25" s="277">
        <f t="shared" si="5"/>
        <v>0</v>
      </c>
      <c r="AK25" s="277">
        <f t="shared" si="5"/>
        <v>0</v>
      </c>
      <c r="AL25" s="277">
        <f t="shared" si="5"/>
        <v>0</v>
      </c>
      <c r="AM25" s="278">
        <f t="shared" si="5"/>
        <v>0</v>
      </c>
    </row>
    <row r="26" spans="2:39" x14ac:dyDescent="0.3">
      <c r="B26" s="57" t="s">
        <v>182</v>
      </c>
      <c r="D26" s="463">
        <f>ROUND(D24*WattPerM2/1000,1)</f>
        <v>0</v>
      </c>
      <c r="V26" s="261" t="s">
        <v>615</v>
      </c>
      <c r="W26" s="272"/>
      <c r="X26" s="272"/>
      <c r="Y26" s="272"/>
      <c r="Z26" s="272"/>
      <c r="AA26" s="272"/>
      <c r="AB26" s="272"/>
      <c r="AC26" s="272"/>
      <c r="AD26" s="272"/>
      <c r="AE26" s="272"/>
      <c r="AF26" s="272"/>
      <c r="AG26" s="272"/>
      <c r="AH26" s="272"/>
      <c r="AI26" s="272"/>
      <c r="AJ26" s="272"/>
      <c r="AK26" s="272"/>
      <c r="AL26" s="272"/>
      <c r="AM26" s="273"/>
    </row>
    <row r="27" spans="2:39" x14ac:dyDescent="0.3">
      <c r="V27" s="264" t="s">
        <v>496</v>
      </c>
      <c r="W27" t="s">
        <v>1242</v>
      </c>
      <c r="X27">
        <v>1</v>
      </c>
      <c r="Y27">
        <f t="shared" ref="Y27:AM27" si="6">ROUND(IF(ABS($AA$14-Y18)&lt;PI()/2,(COS(2*($AA$14-Y18)))^2,0),5)</f>
        <v>0</v>
      </c>
      <c r="Z27">
        <f t="shared" si="6"/>
        <v>0</v>
      </c>
      <c r="AA27">
        <f t="shared" si="6"/>
        <v>1</v>
      </c>
      <c r="AB27">
        <f t="shared" si="6"/>
        <v>0</v>
      </c>
      <c r="AC27">
        <f t="shared" si="6"/>
        <v>0</v>
      </c>
      <c r="AD27">
        <f t="shared" si="6"/>
        <v>0</v>
      </c>
      <c r="AE27">
        <f t="shared" si="6"/>
        <v>0</v>
      </c>
      <c r="AF27">
        <f t="shared" si="6"/>
        <v>1</v>
      </c>
      <c r="AG27">
        <f t="shared" si="6"/>
        <v>0</v>
      </c>
      <c r="AH27">
        <f t="shared" si="6"/>
        <v>0</v>
      </c>
      <c r="AI27">
        <f t="shared" si="6"/>
        <v>0</v>
      </c>
      <c r="AJ27">
        <f t="shared" si="6"/>
        <v>0</v>
      </c>
      <c r="AK27">
        <f t="shared" si="6"/>
        <v>1</v>
      </c>
      <c r="AL27">
        <f t="shared" si="6"/>
        <v>0</v>
      </c>
      <c r="AM27" s="274">
        <f t="shared" si="6"/>
        <v>0</v>
      </c>
    </row>
    <row r="28" spans="2:39" x14ac:dyDescent="0.3">
      <c r="B28" s="43" t="s">
        <v>506</v>
      </c>
      <c r="D28" s="463">
        <f>IF(D21&lt;&gt;"",D21,D26)</f>
        <v>99</v>
      </c>
      <c r="V28" s="264" t="s">
        <v>497</v>
      </c>
      <c r="W28" t="s">
        <v>1242</v>
      </c>
      <c r="X28">
        <f t="shared" ref="X28:AM28" si="7">ROUND(IF(COS(3*($AA$15-X19))&gt;0,COS(3*($AA$15-X19)),0)^2,5)</f>
        <v>0</v>
      </c>
      <c r="Y28">
        <f t="shared" si="7"/>
        <v>0.5</v>
      </c>
      <c r="Z28">
        <f t="shared" si="7"/>
        <v>0.5</v>
      </c>
      <c r="AA28">
        <f t="shared" si="7"/>
        <v>0.5</v>
      </c>
      <c r="AB28">
        <f t="shared" si="7"/>
        <v>0.5</v>
      </c>
      <c r="AC28">
        <f t="shared" si="7"/>
        <v>0.5</v>
      </c>
      <c r="AD28">
        <f t="shared" si="7"/>
        <v>0.5</v>
      </c>
      <c r="AE28">
        <f t="shared" si="7"/>
        <v>0.5</v>
      </c>
      <c r="AF28">
        <f t="shared" si="7"/>
        <v>0.5</v>
      </c>
      <c r="AG28">
        <f t="shared" si="7"/>
        <v>0.5</v>
      </c>
      <c r="AH28">
        <f t="shared" si="7"/>
        <v>0.5</v>
      </c>
      <c r="AI28">
        <f t="shared" si="7"/>
        <v>0</v>
      </c>
      <c r="AJ28">
        <f t="shared" si="7"/>
        <v>0</v>
      </c>
      <c r="AK28">
        <f t="shared" si="7"/>
        <v>0</v>
      </c>
      <c r="AL28">
        <f t="shared" si="7"/>
        <v>0</v>
      </c>
      <c r="AM28" s="274">
        <f t="shared" si="7"/>
        <v>0</v>
      </c>
    </row>
    <row r="29" spans="2:39" x14ac:dyDescent="0.3">
      <c r="B29" s="301" t="str">
        <f>IF(PVKapazität&gt;GrenzwertPV_Anlage,"Sehr große PV-Anlage: Bitte Eingabewert überprüfen.","")</f>
        <v/>
      </c>
      <c r="V29" s="264" t="s">
        <v>498</v>
      </c>
      <c r="W29" s="167">
        <f>Z13</f>
        <v>0</v>
      </c>
      <c r="AM29" s="274"/>
    </row>
    <row r="30" spans="2:39" ht="6.6" customHeight="1" thickBot="1" x14ac:dyDescent="0.35">
      <c r="V30" s="64"/>
      <c r="W30" s="164" t="s">
        <v>1243</v>
      </c>
      <c r="X30" s="164">
        <f t="shared" ref="X30:AM30" si="8">X27*X28*$W$29</f>
        <v>0</v>
      </c>
      <c r="Y30" s="164">
        <f t="shared" si="8"/>
        <v>0</v>
      </c>
      <c r="Z30" s="164">
        <f t="shared" si="8"/>
        <v>0</v>
      </c>
      <c r="AA30" s="164">
        <f t="shared" si="8"/>
        <v>0</v>
      </c>
      <c r="AB30" s="164">
        <f t="shared" si="8"/>
        <v>0</v>
      </c>
      <c r="AC30" s="164">
        <f t="shared" si="8"/>
        <v>0</v>
      </c>
      <c r="AD30" s="164">
        <f t="shared" si="8"/>
        <v>0</v>
      </c>
      <c r="AE30" s="164">
        <f t="shared" si="8"/>
        <v>0</v>
      </c>
      <c r="AF30" s="164">
        <f t="shared" si="8"/>
        <v>0</v>
      </c>
      <c r="AG30" s="164">
        <f t="shared" si="8"/>
        <v>0</v>
      </c>
      <c r="AH30" s="164">
        <f t="shared" si="8"/>
        <v>0</v>
      </c>
      <c r="AI30" s="164">
        <f t="shared" si="8"/>
        <v>0</v>
      </c>
      <c r="AJ30" s="164">
        <f t="shared" si="8"/>
        <v>0</v>
      </c>
      <c r="AK30" s="164">
        <f t="shared" si="8"/>
        <v>0</v>
      </c>
      <c r="AL30" s="164">
        <f t="shared" si="8"/>
        <v>0</v>
      </c>
      <c r="AM30" s="275">
        <f t="shared" si="8"/>
        <v>0</v>
      </c>
    </row>
    <row r="31" spans="2:39" ht="15.6" customHeight="1" thickBot="1" x14ac:dyDescent="0.35">
      <c r="B31" s="43" t="s">
        <v>155</v>
      </c>
      <c r="D31" s="464" t="s">
        <v>156</v>
      </c>
      <c r="V31" s="276" t="s">
        <v>499</v>
      </c>
      <c r="W31" s="277"/>
      <c r="X31" s="277">
        <f>X30</f>
        <v>0</v>
      </c>
      <c r="Y31" s="277">
        <f t="shared" ref="Y31:AB31" si="9">Y30</f>
        <v>0</v>
      </c>
      <c r="Z31" s="277">
        <f>Z30</f>
        <v>0</v>
      </c>
      <c r="AA31" s="277">
        <f t="shared" si="9"/>
        <v>0</v>
      </c>
      <c r="AB31" s="277">
        <f t="shared" si="9"/>
        <v>0</v>
      </c>
      <c r="AC31" s="277">
        <f>AC30</f>
        <v>0</v>
      </c>
      <c r="AD31" s="277">
        <f t="shared" ref="AD31:AM31" si="10">AD30</f>
        <v>0</v>
      </c>
      <c r="AE31" s="277">
        <f t="shared" si="10"/>
        <v>0</v>
      </c>
      <c r="AF31" s="277">
        <f t="shared" si="10"/>
        <v>0</v>
      </c>
      <c r="AG31" s="277">
        <f t="shared" si="10"/>
        <v>0</v>
      </c>
      <c r="AH31" s="277">
        <f t="shared" si="10"/>
        <v>0</v>
      </c>
      <c r="AI31" s="277">
        <f t="shared" si="10"/>
        <v>0</v>
      </c>
      <c r="AJ31" s="277">
        <f t="shared" si="10"/>
        <v>0</v>
      </c>
      <c r="AK31" s="277">
        <f t="shared" si="10"/>
        <v>0</v>
      </c>
      <c r="AL31" s="277">
        <f t="shared" si="10"/>
        <v>0</v>
      </c>
      <c r="AM31" s="278">
        <f t="shared" si="10"/>
        <v>0</v>
      </c>
    </row>
    <row r="32" spans="2:39" ht="8.4" customHeight="1" thickBot="1" x14ac:dyDescent="0.35">
      <c r="B32" s="43"/>
      <c r="D32" s="50"/>
    </row>
    <row r="33" spans="2:39" ht="15" thickBot="1" x14ac:dyDescent="0.35">
      <c r="B33" s="43" t="s">
        <v>157</v>
      </c>
      <c r="D33" s="464" t="s">
        <v>156</v>
      </c>
    </row>
    <row r="34" spans="2:39" ht="15" thickBot="1" x14ac:dyDescent="0.35">
      <c r="D34" s="43"/>
      <c r="P34" t="s">
        <v>601</v>
      </c>
    </row>
    <row r="35" spans="2:39" x14ac:dyDescent="0.3">
      <c r="B35" s="49" t="s">
        <v>605</v>
      </c>
      <c r="C35" s="43"/>
      <c r="D35" s="43"/>
      <c r="R35" s="261" t="s">
        <v>603</v>
      </c>
      <c r="S35" s="263"/>
      <c r="T35" s="261" t="s">
        <v>616</v>
      </c>
      <c r="U35" s="263"/>
      <c r="W35" s="166" t="s">
        <v>496</v>
      </c>
      <c r="X35" s="166"/>
      <c r="Y35" s="166" t="s">
        <v>500</v>
      </c>
      <c r="Z35" s="166" t="s">
        <v>501</v>
      </c>
      <c r="AA35" s="166" t="s">
        <v>502</v>
      </c>
      <c r="AB35" s="166" t="s">
        <v>503</v>
      </c>
      <c r="AC35" s="166" t="s">
        <v>504</v>
      </c>
      <c r="AD35" s="166" t="s">
        <v>500</v>
      </c>
      <c r="AE35" s="166" t="s">
        <v>501</v>
      </c>
      <c r="AF35" s="166" t="s">
        <v>502</v>
      </c>
      <c r="AG35" s="166" t="s">
        <v>503</v>
      </c>
      <c r="AH35" s="166" t="s">
        <v>504</v>
      </c>
      <c r="AI35" s="166" t="s">
        <v>500</v>
      </c>
      <c r="AJ35" s="166" t="s">
        <v>501</v>
      </c>
      <c r="AK35" s="166" t="s">
        <v>502</v>
      </c>
      <c r="AL35" s="166" t="s">
        <v>503</v>
      </c>
      <c r="AM35" s="166" t="s">
        <v>504</v>
      </c>
    </row>
    <row r="36" spans="2:39" ht="13.2" customHeight="1" thickBot="1" x14ac:dyDescent="0.35">
      <c r="B36" s="43" t="s">
        <v>180</v>
      </c>
      <c r="C36" s="43"/>
      <c r="D36" s="43"/>
      <c r="R36" s="64" t="s">
        <v>621</v>
      </c>
      <c r="S36" s="302">
        <f>IF(PVKapazität&gt;0,$D$58/$R$50,1)</f>
        <v>1</v>
      </c>
      <c r="T36" s="64" t="s">
        <v>621</v>
      </c>
      <c r="U36" s="302">
        <f>IF(PV2Kapazität&gt;0,$D$63/$T$50,1)</f>
        <v>1</v>
      </c>
      <c r="W36" s="165" t="s">
        <v>496</v>
      </c>
      <c r="X36" s="165"/>
      <c r="Y36" s="165">
        <v>90</v>
      </c>
      <c r="Z36" s="165">
        <v>135</v>
      </c>
      <c r="AA36" s="165">
        <v>180</v>
      </c>
      <c r="AB36" s="165">
        <v>225</v>
      </c>
      <c r="AC36" s="165">
        <v>270</v>
      </c>
      <c r="AD36" s="165">
        <v>90</v>
      </c>
      <c r="AE36" s="165">
        <v>135</v>
      </c>
      <c r="AF36" s="165">
        <v>180</v>
      </c>
      <c r="AG36" s="165">
        <v>225</v>
      </c>
      <c r="AH36" s="165">
        <v>270</v>
      </c>
      <c r="AI36" s="165">
        <v>90</v>
      </c>
      <c r="AJ36" s="165">
        <v>135</v>
      </c>
      <c r="AK36" s="165">
        <v>180</v>
      </c>
      <c r="AL36" s="165">
        <v>225</v>
      </c>
      <c r="AM36" s="165">
        <v>270</v>
      </c>
    </row>
    <row r="37" spans="2:39" x14ac:dyDescent="0.3">
      <c r="B37" s="43" t="s">
        <v>154</v>
      </c>
      <c r="D37" s="461"/>
      <c r="Q37" t="s">
        <v>618</v>
      </c>
      <c r="R37" s="64" t="s">
        <v>619</v>
      </c>
      <c r="S37" s="274" t="s">
        <v>620</v>
      </c>
      <c r="T37" s="64" t="s">
        <v>619</v>
      </c>
      <c r="U37" s="274" t="s">
        <v>620</v>
      </c>
      <c r="V37" s="272" t="s">
        <v>140</v>
      </c>
      <c r="W37" s="165" t="s">
        <v>497</v>
      </c>
      <c r="X37" s="165">
        <v>0</v>
      </c>
      <c r="Y37" s="165">
        <v>30</v>
      </c>
      <c r="Z37" s="165">
        <v>30</v>
      </c>
      <c r="AA37" s="165">
        <v>30</v>
      </c>
      <c r="AB37" s="165">
        <v>30</v>
      </c>
      <c r="AC37" s="165">
        <v>30</v>
      </c>
      <c r="AD37" s="165">
        <v>60</v>
      </c>
      <c r="AE37" s="165">
        <v>60</v>
      </c>
      <c r="AF37" s="165">
        <v>60</v>
      </c>
      <c r="AG37" s="165">
        <v>60</v>
      </c>
      <c r="AH37" s="165">
        <v>60</v>
      </c>
      <c r="AI37" s="165">
        <v>90</v>
      </c>
      <c r="AJ37" s="165">
        <v>90</v>
      </c>
      <c r="AK37" s="165">
        <v>90</v>
      </c>
      <c r="AL37" s="165">
        <v>90</v>
      </c>
      <c r="AM37" s="165">
        <v>90</v>
      </c>
    </row>
    <row r="38" spans="2:39" ht="15" customHeight="1" x14ac:dyDescent="0.3">
      <c r="B38" s="599" t="s">
        <v>181</v>
      </c>
      <c r="C38" s="599"/>
      <c r="D38" s="599"/>
      <c r="P38" t="s">
        <v>290</v>
      </c>
      <c r="Q38" s="74">
        <f>S38+U38</f>
        <v>3280.7573303752069</v>
      </c>
      <c r="R38" s="282">
        <f>SUMPRODUCT($X$25:$AM$25,X38:AM38)*PVSpezifischerJahresertrag/1000</f>
        <v>3280.7573303752069</v>
      </c>
      <c r="S38" s="283">
        <f t="shared" ref="S38:S50" si="11">IF(PVKapazität&gt;0,R38*$S$36,0)</f>
        <v>3280.7573303752069</v>
      </c>
      <c r="T38" s="282">
        <f t="shared" ref="T38:T49" si="12">SUMPRODUCT($X$31:$AM$31,X38:AM38)*PVSpezifischerJahresertrag/1000</f>
        <v>0</v>
      </c>
      <c r="U38" s="283">
        <f t="shared" ref="U38:U49" si="13">IF(PV2Kapazität&gt;0,T38*$U$36,0)</f>
        <v>0</v>
      </c>
      <c r="V38">
        <v>1</v>
      </c>
      <c r="W38" t="s">
        <v>290</v>
      </c>
      <c r="X38" s="65">
        <v>22.392874190860891</v>
      </c>
      <c r="Y38" s="65">
        <v>17.685576580370849</v>
      </c>
      <c r="Z38" s="65">
        <v>26.281316898781348</v>
      </c>
      <c r="AA38" s="65">
        <v>32.473179338441184</v>
      </c>
      <c r="AB38" s="65">
        <v>31.806161066159397</v>
      </c>
      <c r="AC38" s="65">
        <v>24.566704540492921</v>
      </c>
      <c r="AD38" s="65">
        <v>12.958350800456323</v>
      </c>
      <c r="AE38" s="65">
        <v>25.563468020133097</v>
      </c>
      <c r="AF38" s="65">
        <v>36.20860912390679</v>
      </c>
      <c r="AG38" s="65">
        <v>35.061192799617636</v>
      </c>
      <c r="AH38" s="65">
        <v>22.966212945175513</v>
      </c>
      <c r="AI38" s="65">
        <v>8.2332812731995659</v>
      </c>
      <c r="AJ38" s="65">
        <v>20.432465385420898</v>
      </c>
      <c r="AK38" s="65">
        <v>32.620655283922069</v>
      </c>
      <c r="AL38" s="65">
        <v>31.299879056443029</v>
      </c>
      <c r="AM38" s="65">
        <v>18.424525520240657</v>
      </c>
    </row>
    <row r="39" spans="2:39" x14ac:dyDescent="0.3">
      <c r="B39" s="599"/>
      <c r="C39" s="599"/>
      <c r="D39" s="599"/>
      <c r="E39" s="50"/>
      <c r="P39" t="s">
        <v>291</v>
      </c>
      <c r="Q39" s="74">
        <f t="shared" ref="Q39:Q50" si="14">S39+U39</f>
        <v>4989.0670569047052</v>
      </c>
      <c r="R39" s="282">
        <f t="shared" ref="R39:R49" si="15">SUMPRODUCT($X$25:$AM$25,X39:AM39)*PVSpezifischerJahresertrag/1000</f>
        <v>4989.0670569047052</v>
      </c>
      <c r="S39" s="283">
        <f t="shared" si="11"/>
        <v>4989.0670569047052</v>
      </c>
      <c r="T39" s="282">
        <f t="shared" si="12"/>
        <v>0</v>
      </c>
      <c r="U39" s="283">
        <f t="shared" si="13"/>
        <v>0</v>
      </c>
      <c r="V39">
        <v>2</v>
      </c>
      <c r="W39" t="s">
        <v>291</v>
      </c>
      <c r="X39" s="65">
        <v>38.135089236105827</v>
      </c>
      <c r="Y39" s="65">
        <v>31.288153733915639</v>
      </c>
      <c r="Z39" s="65">
        <v>42.986393056445053</v>
      </c>
      <c r="AA39" s="65">
        <v>50.838175860959275</v>
      </c>
      <c r="AB39" s="65">
        <v>49.555130227154372</v>
      </c>
      <c r="AC39" s="65">
        <v>39.869670422357217</v>
      </c>
      <c r="AD39" s="65">
        <v>23.221778974259831</v>
      </c>
      <c r="AE39" s="65">
        <v>40.443001545568741</v>
      </c>
      <c r="AF39" s="65">
        <v>53.606625665281491</v>
      </c>
      <c r="AG39" s="65">
        <v>51.402494222969473</v>
      </c>
      <c r="AH39" s="65">
        <v>36.197141654719864</v>
      </c>
      <c r="AI39" s="65">
        <v>14.702386070504579</v>
      </c>
      <c r="AJ39" s="65">
        <v>31.102671475354498</v>
      </c>
      <c r="AK39" s="65">
        <v>45.782869626928509</v>
      </c>
      <c r="AL39" s="65">
        <v>43.353873898940158</v>
      </c>
      <c r="AM39" s="65">
        <v>27.97986147654245</v>
      </c>
    </row>
    <row r="40" spans="2:39" x14ac:dyDescent="0.3">
      <c r="B40" s="43" t="s">
        <v>153</v>
      </c>
      <c r="D40" s="462"/>
      <c r="P40" t="s">
        <v>292</v>
      </c>
      <c r="Q40" s="74">
        <f t="shared" si="14"/>
        <v>7490.7797062674126</v>
      </c>
      <c r="R40" s="282">
        <f t="shared" si="15"/>
        <v>7490.7797062674126</v>
      </c>
      <c r="S40" s="283">
        <f t="shared" si="11"/>
        <v>7490.7797062674126</v>
      </c>
      <c r="T40" s="282">
        <f t="shared" si="12"/>
        <v>0</v>
      </c>
      <c r="U40" s="283">
        <f t="shared" si="13"/>
        <v>0</v>
      </c>
      <c r="V40">
        <v>3</v>
      </c>
      <c r="W40" t="s">
        <v>292</v>
      </c>
      <c r="X40" s="65">
        <v>70.299111340557985</v>
      </c>
      <c r="Y40" s="65">
        <v>62.381755098407965</v>
      </c>
      <c r="Z40" s="65">
        <v>73.785331898931744</v>
      </c>
      <c r="AA40" s="65">
        <v>80.502614953130177</v>
      </c>
      <c r="AB40" s="65">
        <v>78.212260994645433</v>
      </c>
      <c r="AC40" s="65">
        <v>68.108637207653501</v>
      </c>
      <c r="AD40" s="65">
        <v>48.360427220328454</v>
      </c>
      <c r="AE40" s="65">
        <v>65.79979963777491</v>
      </c>
      <c r="AF40" s="65">
        <v>76.314880336918762</v>
      </c>
      <c r="AG40" s="65">
        <v>72.57973381308625</v>
      </c>
      <c r="AH40" s="65">
        <v>57.59427382205125</v>
      </c>
      <c r="AI40" s="65">
        <v>31.11236435804231</v>
      </c>
      <c r="AJ40" s="65">
        <v>48.228438419525219</v>
      </c>
      <c r="AK40" s="65">
        <v>58.911609190693184</v>
      </c>
      <c r="AL40" s="65">
        <v>55.509288161792298</v>
      </c>
      <c r="AM40" s="65">
        <v>41.9716467069277</v>
      </c>
    </row>
    <row r="41" spans="2:39" ht="6" customHeight="1" x14ac:dyDescent="0.3">
      <c r="P41" t="s">
        <v>293</v>
      </c>
      <c r="Q41" s="74">
        <f t="shared" si="14"/>
        <v>9417.4348825617944</v>
      </c>
      <c r="R41" s="282">
        <f t="shared" si="15"/>
        <v>9417.4348825617944</v>
      </c>
      <c r="S41" s="283">
        <f t="shared" si="11"/>
        <v>9417.4348825617944</v>
      </c>
      <c r="T41" s="282">
        <f t="shared" si="12"/>
        <v>0</v>
      </c>
      <c r="U41" s="283">
        <f t="shared" si="13"/>
        <v>0</v>
      </c>
      <c r="V41">
        <v>4</v>
      </c>
      <c r="W41" t="s">
        <v>293</v>
      </c>
      <c r="X41" s="65">
        <v>98.679605835887102</v>
      </c>
      <c r="Y41" s="65">
        <v>89.865428768536077</v>
      </c>
      <c r="Z41" s="65">
        <v>100.10093825061308</v>
      </c>
      <c r="AA41" s="65">
        <v>104.84156888704361</v>
      </c>
      <c r="AB41" s="65">
        <v>101.84014349321397</v>
      </c>
      <c r="AC41" s="65">
        <v>92.341004539799528</v>
      </c>
      <c r="AD41" s="65">
        <v>71.025778254310694</v>
      </c>
      <c r="AE41" s="65">
        <v>86.093310541903577</v>
      </c>
      <c r="AF41" s="65">
        <v>92.309943805933727</v>
      </c>
      <c r="AG41" s="65">
        <v>88.444472040270142</v>
      </c>
      <c r="AH41" s="65">
        <v>75.639326846144399</v>
      </c>
      <c r="AI41" s="65">
        <v>46.365776107983919</v>
      </c>
      <c r="AJ41" s="65">
        <v>59.799998120227947</v>
      </c>
      <c r="AK41" s="65">
        <v>64.302213870298672</v>
      </c>
      <c r="AL41" s="65">
        <v>62.897249062566942</v>
      </c>
      <c r="AM41" s="65">
        <v>53.093826544811229</v>
      </c>
    </row>
    <row r="42" spans="2:39" x14ac:dyDescent="0.3">
      <c r="B42" s="57" t="s">
        <v>182</v>
      </c>
      <c r="D42" s="463">
        <f>ROUND(D40*WattPerM2/1000,1)</f>
        <v>0</v>
      </c>
      <c r="P42" t="s">
        <v>146</v>
      </c>
      <c r="Q42" s="74">
        <f t="shared" si="14"/>
        <v>10814.602429933993</v>
      </c>
      <c r="R42" s="282">
        <f t="shared" si="15"/>
        <v>10814.602429933993</v>
      </c>
      <c r="S42" s="283">
        <f t="shared" si="11"/>
        <v>10814.602429933993</v>
      </c>
      <c r="T42" s="282">
        <f t="shared" si="12"/>
        <v>0</v>
      </c>
      <c r="U42" s="283">
        <f t="shared" si="13"/>
        <v>0</v>
      </c>
      <c r="V42">
        <v>5</v>
      </c>
      <c r="W42" t="s">
        <v>146</v>
      </c>
      <c r="X42" s="65">
        <v>126.42445373349918</v>
      </c>
      <c r="Y42" s="65">
        <v>115.36477611656875</v>
      </c>
      <c r="Z42" s="65">
        <v>122.24526919658975</v>
      </c>
      <c r="AA42" s="65">
        <v>124.89576286535043</v>
      </c>
      <c r="AB42" s="65">
        <v>123.52158720435847</v>
      </c>
      <c r="AC42" s="65">
        <v>117.3520960934692</v>
      </c>
      <c r="AD42" s="65">
        <v>92.533091509992829</v>
      </c>
      <c r="AE42" s="65">
        <v>101.29222176313831</v>
      </c>
      <c r="AF42" s="65">
        <v>101.50508352464266</v>
      </c>
      <c r="AG42" s="65">
        <v>102.06408899081914</v>
      </c>
      <c r="AH42" s="65">
        <v>96.273614801716974</v>
      </c>
      <c r="AI42" s="65">
        <v>61.774257294949251</v>
      </c>
      <c r="AJ42" s="65">
        <v>66.992818902775383</v>
      </c>
      <c r="AK42" s="65">
        <v>62.752544139560797</v>
      </c>
      <c r="AL42" s="65">
        <v>68.995615657149955</v>
      </c>
      <c r="AM42" s="65">
        <v>67.770515579961398</v>
      </c>
    </row>
    <row r="43" spans="2:39" ht="13.8" customHeight="1" x14ac:dyDescent="0.3">
      <c r="P43" t="s">
        <v>294</v>
      </c>
      <c r="Q43" s="74">
        <f t="shared" si="14"/>
        <v>10798.852953937696</v>
      </c>
      <c r="R43" s="282">
        <f t="shared" si="15"/>
        <v>10798.852953937696</v>
      </c>
      <c r="S43" s="283">
        <f t="shared" si="11"/>
        <v>10798.852953937696</v>
      </c>
      <c r="T43" s="282">
        <f t="shared" si="12"/>
        <v>0</v>
      </c>
      <c r="U43" s="283">
        <f t="shared" si="13"/>
        <v>0</v>
      </c>
      <c r="V43">
        <v>6</v>
      </c>
      <c r="W43" t="s">
        <v>294</v>
      </c>
      <c r="X43" s="65">
        <v>132.76791505911078</v>
      </c>
      <c r="Y43" s="65">
        <v>123.62126822427142</v>
      </c>
      <c r="Z43" s="65">
        <v>127.22779533495218</v>
      </c>
      <c r="AA43" s="65">
        <v>126.55000810957759</v>
      </c>
      <c r="AB43" s="65">
        <v>124.58963452667096</v>
      </c>
      <c r="AC43" s="65">
        <v>120.73993902227336</v>
      </c>
      <c r="AD43" s="65">
        <v>99.326747981220137</v>
      </c>
      <c r="AE43" s="65">
        <v>103.61132129087697</v>
      </c>
      <c r="AF43" s="65">
        <v>99.52112715891451</v>
      </c>
      <c r="AG43" s="65">
        <v>99.629559388995062</v>
      </c>
      <c r="AH43" s="65">
        <v>96.519971246060251</v>
      </c>
      <c r="AI43" s="65">
        <v>65.914847364545963</v>
      </c>
      <c r="AJ43" s="65">
        <v>66.858300237373783</v>
      </c>
      <c r="AK43" s="65">
        <v>58.900202525829471</v>
      </c>
      <c r="AL43" s="65">
        <v>64.581758629024449</v>
      </c>
      <c r="AM43" s="65">
        <v>66.123566154632712</v>
      </c>
    </row>
    <row r="44" spans="2:39" x14ac:dyDescent="0.3">
      <c r="B44" s="43" t="s">
        <v>506</v>
      </c>
      <c r="D44" s="463">
        <f>IF(D37&lt;&gt;"",D37,D42)</f>
        <v>0</v>
      </c>
      <c r="P44" t="s">
        <v>295</v>
      </c>
      <c r="Q44" s="74">
        <f t="shared" si="14"/>
        <v>11540.96386100237</v>
      </c>
      <c r="R44" s="282">
        <f t="shared" si="15"/>
        <v>11540.96386100237</v>
      </c>
      <c r="S44" s="283">
        <f t="shared" si="11"/>
        <v>11540.96386100237</v>
      </c>
      <c r="T44" s="282">
        <f t="shared" si="12"/>
        <v>0</v>
      </c>
      <c r="U44" s="283">
        <f t="shared" si="13"/>
        <v>0</v>
      </c>
      <c r="V44">
        <v>7</v>
      </c>
      <c r="W44" t="s">
        <v>295</v>
      </c>
      <c r="X44" s="65">
        <v>139.10604542806459</v>
      </c>
      <c r="Y44" s="65">
        <v>128.22164967688536</v>
      </c>
      <c r="Z44" s="65">
        <v>133.66309889101541</v>
      </c>
      <c r="AA44" s="65">
        <v>134.43729655649423</v>
      </c>
      <c r="AB44" s="65">
        <v>133.24551408247893</v>
      </c>
      <c r="AC44" s="65">
        <v>128.66323223816718</v>
      </c>
      <c r="AD44" s="65">
        <v>103.4206596030463</v>
      </c>
      <c r="AE44" s="65">
        <v>109.8748981077737</v>
      </c>
      <c r="AF44" s="65">
        <v>107.16973460490989</v>
      </c>
      <c r="AG44" s="65">
        <v>108.20341965153901</v>
      </c>
      <c r="AH44" s="65">
        <v>104.91759276063247</v>
      </c>
      <c r="AI44" s="65">
        <v>69.298632437244251</v>
      </c>
      <c r="AJ44" s="65">
        <v>72.028032925691065</v>
      </c>
      <c r="AK44" s="65">
        <v>64.354470507433533</v>
      </c>
      <c r="AL44" s="65">
        <v>71.442575038414105</v>
      </c>
      <c r="AM44" s="65">
        <v>73.726863882212214</v>
      </c>
    </row>
    <row r="45" spans="2:39" x14ac:dyDescent="0.3">
      <c r="B45" s="301" t="str">
        <f>IF(PV2Kapazität&gt;GrenzwertPV_Anlage,"Sehr große PV-Anlage: Bitte Eingabewert überprüfen.","")</f>
        <v/>
      </c>
      <c r="P45" t="s">
        <v>296</v>
      </c>
      <c r="Q45" s="74">
        <f t="shared" si="14"/>
        <v>11021.083732005047</v>
      </c>
      <c r="R45" s="282">
        <f t="shared" si="15"/>
        <v>11021.083732005047</v>
      </c>
      <c r="S45" s="283">
        <f t="shared" si="11"/>
        <v>11021.083732005047</v>
      </c>
      <c r="T45" s="282">
        <f t="shared" si="12"/>
        <v>0</v>
      </c>
      <c r="U45" s="283">
        <f t="shared" si="13"/>
        <v>0</v>
      </c>
      <c r="V45">
        <v>8</v>
      </c>
      <c r="W45" t="s">
        <v>296</v>
      </c>
      <c r="X45" s="65">
        <v>120.23518770336285</v>
      </c>
      <c r="Y45" s="65">
        <v>107.88199592640501</v>
      </c>
      <c r="Z45" s="65">
        <v>118.64646775513079</v>
      </c>
      <c r="AA45" s="65">
        <v>124.44239173914896</v>
      </c>
      <c r="AB45" s="65">
        <v>122.46164281656795</v>
      </c>
      <c r="AC45" s="65">
        <v>113.19611899973329</v>
      </c>
      <c r="AD45" s="65">
        <v>84.286392227194014</v>
      </c>
      <c r="AE45" s="65">
        <v>99.750761214975654</v>
      </c>
      <c r="AF45" s="65">
        <v>106.28108619051132</v>
      </c>
      <c r="AG45" s="65">
        <v>104.6357971872327</v>
      </c>
      <c r="AH45" s="65">
        <v>92.88992004357074</v>
      </c>
      <c r="AI45" s="65">
        <v>54.410930199816839</v>
      </c>
      <c r="AJ45" s="65">
        <v>67.173725733587716</v>
      </c>
      <c r="AK45" s="65">
        <v>70.408954375445745</v>
      </c>
      <c r="AL45" s="65">
        <v>73.064664091115517</v>
      </c>
      <c r="AM45" s="65">
        <v>65.591327254157733</v>
      </c>
    </row>
    <row r="46" spans="2:39" ht="6.6" customHeight="1" thickBot="1" x14ac:dyDescent="0.35">
      <c r="P46" t="s">
        <v>297</v>
      </c>
      <c r="Q46" s="74">
        <f t="shared" si="14"/>
        <v>8655.1270901495409</v>
      </c>
      <c r="R46" s="282">
        <f t="shared" si="15"/>
        <v>8655.1270901495409</v>
      </c>
      <c r="S46" s="283">
        <f t="shared" si="11"/>
        <v>8655.1270901495409</v>
      </c>
      <c r="T46" s="282">
        <f t="shared" si="12"/>
        <v>0</v>
      </c>
      <c r="U46" s="283">
        <f t="shared" si="13"/>
        <v>0</v>
      </c>
      <c r="V46">
        <v>9</v>
      </c>
      <c r="W46" t="s">
        <v>297</v>
      </c>
      <c r="X46" s="65">
        <v>82.666454818710136</v>
      </c>
      <c r="Y46" s="65">
        <v>72.598371573620582</v>
      </c>
      <c r="Z46" s="65">
        <v>85.601920111190282</v>
      </c>
      <c r="AA46" s="65">
        <v>93.653186284943885</v>
      </c>
      <c r="AB46" s="65">
        <v>91.6433565923966</v>
      </c>
      <c r="AC46" s="65">
        <v>80.347403250571915</v>
      </c>
      <c r="AD46" s="65">
        <v>56.261326674580253</v>
      </c>
      <c r="AE46" s="65">
        <v>75.07608806266974</v>
      </c>
      <c r="AF46" s="65">
        <v>87.539614053142472</v>
      </c>
      <c r="AG46" s="65">
        <v>84.410351210565182</v>
      </c>
      <c r="AH46" s="65">
        <v>68.555934184593212</v>
      </c>
      <c r="AI46" s="65">
        <v>36.984579862282793</v>
      </c>
      <c r="AJ46" s="65">
        <v>53.867058945958838</v>
      </c>
      <c r="AK46" s="65">
        <v>65.923848274546842</v>
      </c>
      <c r="AL46" s="65">
        <v>63.938759700299023</v>
      </c>
      <c r="AM46" s="65">
        <v>50.111457840077975</v>
      </c>
    </row>
    <row r="47" spans="2:39" ht="13.8" customHeight="1" thickBot="1" x14ac:dyDescent="0.35">
      <c r="B47" s="43" t="s">
        <v>155</v>
      </c>
      <c r="D47" s="464" t="s">
        <v>156</v>
      </c>
      <c r="P47" t="s">
        <v>298</v>
      </c>
      <c r="Q47" s="74">
        <f t="shared" si="14"/>
        <v>5931.9695931821907</v>
      </c>
      <c r="R47" s="282">
        <f t="shared" si="15"/>
        <v>5931.9695931821907</v>
      </c>
      <c r="S47" s="283">
        <f t="shared" si="11"/>
        <v>5931.9695931821907</v>
      </c>
      <c r="T47" s="282">
        <f t="shared" si="12"/>
        <v>0</v>
      </c>
      <c r="U47" s="283">
        <f t="shared" si="13"/>
        <v>0</v>
      </c>
      <c r="V47">
        <v>10</v>
      </c>
      <c r="W47" t="s">
        <v>298</v>
      </c>
      <c r="X47" s="65">
        <v>49.105905699681372</v>
      </c>
      <c r="Y47" s="65">
        <v>40.958242592164829</v>
      </c>
      <c r="Z47" s="65">
        <v>53.428456966266644</v>
      </c>
      <c r="AA47" s="65">
        <v>61.704239791775016</v>
      </c>
      <c r="AB47" s="65">
        <v>60.27052084589176</v>
      </c>
      <c r="AC47" s="65">
        <v>50.155582947855791</v>
      </c>
      <c r="AD47" s="65">
        <v>30.560618033048712</v>
      </c>
      <c r="AE47" s="65">
        <v>48.532241879196661</v>
      </c>
      <c r="AF47" s="65">
        <v>62.479977368055202</v>
      </c>
      <c r="AG47" s="65">
        <v>60.20694102511532</v>
      </c>
      <c r="AH47" s="65">
        <v>44.652006701435866</v>
      </c>
      <c r="AI47" s="65">
        <v>19.938628486298295</v>
      </c>
      <c r="AJ47" s="65">
        <v>36.056134587708186</v>
      </c>
      <c r="AK47" s="65">
        <v>51.314196239968553</v>
      </c>
      <c r="AL47" s="65">
        <v>49.132912212446023</v>
      </c>
      <c r="AM47" s="65">
        <v>33.732359049902968</v>
      </c>
    </row>
    <row r="48" spans="2:39" ht="6.6" customHeight="1" thickBot="1" x14ac:dyDescent="0.35">
      <c r="B48" s="43"/>
      <c r="D48" s="50"/>
      <c r="P48" t="s">
        <v>299</v>
      </c>
      <c r="Q48" s="74">
        <f t="shared" si="14"/>
        <v>3916.0180133511767</v>
      </c>
      <c r="R48" s="282">
        <f t="shared" si="15"/>
        <v>3916.0180133511767</v>
      </c>
      <c r="S48" s="283">
        <f t="shared" si="11"/>
        <v>3916.0180133511767</v>
      </c>
      <c r="T48" s="282">
        <f t="shared" si="12"/>
        <v>0</v>
      </c>
      <c r="U48" s="283">
        <f t="shared" si="13"/>
        <v>0</v>
      </c>
      <c r="V48">
        <v>11</v>
      </c>
      <c r="W48" t="s">
        <v>299</v>
      </c>
      <c r="X48" s="65">
        <v>26.416116439118568</v>
      </c>
      <c r="Y48" s="65">
        <v>22.675906151114599</v>
      </c>
      <c r="Z48" s="65">
        <v>33.006609112773319</v>
      </c>
      <c r="AA48" s="65">
        <v>38.769883407754648</v>
      </c>
      <c r="AB48" s="65">
        <v>35.99849375540316</v>
      </c>
      <c r="AC48" s="65">
        <v>26.56982717490434</v>
      </c>
      <c r="AD48" s="65">
        <v>17.913046797930459</v>
      </c>
      <c r="AE48" s="65">
        <v>33.337530325663273</v>
      </c>
      <c r="AF48" s="65">
        <v>43.210919718872809</v>
      </c>
      <c r="AG48" s="65">
        <v>38.438302320292415</v>
      </c>
      <c r="AH48" s="65">
        <v>23.961052923910579</v>
      </c>
      <c r="AI48" s="65">
        <v>12.43369755423241</v>
      </c>
      <c r="AJ48" s="65">
        <v>27.351604168714019</v>
      </c>
      <c r="AK48" s="65">
        <v>38.684188746956544</v>
      </c>
      <c r="AL48" s="65">
        <v>33.192289614890811</v>
      </c>
      <c r="AM48" s="65">
        <v>18.361642749538461</v>
      </c>
    </row>
    <row r="49" spans="2:39" ht="13.8" customHeight="1" thickBot="1" x14ac:dyDescent="0.35">
      <c r="B49" s="43" t="s">
        <v>157</v>
      </c>
      <c r="D49" s="464" t="s">
        <v>156</v>
      </c>
      <c r="P49" s="67" t="s">
        <v>300</v>
      </c>
      <c r="Q49" s="74">
        <f t="shared" si="14"/>
        <v>2718.9772239465638</v>
      </c>
      <c r="R49" s="282">
        <f t="shared" si="15"/>
        <v>2718.9772239465638</v>
      </c>
      <c r="S49" s="283">
        <f t="shared" si="11"/>
        <v>2718.9772239465638</v>
      </c>
      <c r="T49" s="282">
        <f t="shared" si="12"/>
        <v>0</v>
      </c>
      <c r="U49" s="283">
        <f t="shared" si="13"/>
        <v>0</v>
      </c>
      <c r="V49" s="67">
        <v>12</v>
      </c>
      <c r="W49" s="67" t="s">
        <v>300</v>
      </c>
      <c r="X49" s="65">
        <v>18.561632439637489</v>
      </c>
      <c r="Y49" s="65">
        <v>15.572049602824553</v>
      </c>
      <c r="Z49" s="65">
        <v>22.558933296635722</v>
      </c>
      <c r="AA49" s="65">
        <v>26.891692205381005</v>
      </c>
      <c r="AB49" s="65">
        <v>25.480730554984667</v>
      </c>
      <c r="AC49" s="65">
        <v>19.170448540305578</v>
      </c>
      <c r="AD49" s="65">
        <v>11.914177882195267</v>
      </c>
      <c r="AE49" s="65">
        <v>22.531097145707339</v>
      </c>
      <c r="AF49" s="65">
        <v>30.029378060941575</v>
      </c>
      <c r="AG49" s="65">
        <v>27.588798254300343</v>
      </c>
      <c r="AH49" s="65">
        <v>17.318547065134819</v>
      </c>
      <c r="AI49" s="65">
        <v>7.9747767813033237</v>
      </c>
      <c r="AJ49" s="65">
        <v>18.500996161998369</v>
      </c>
      <c r="AK49" s="65">
        <v>27.138026296810697</v>
      </c>
      <c r="AL49" s="65">
        <v>24.327134093236587</v>
      </c>
      <c r="AM49" s="65">
        <v>13.252410076375401</v>
      </c>
    </row>
    <row r="50" spans="2:39" x14ac:dyDescent="0.3">
      <c r="B50" s="49"/>
      <c r="P50" s="15" t="s">
        <v>510</v>
      </c>
      <c r="Q50" s="74">
        <f t="shared" si="14"/>
        <v>90575.633873617699</v>
      </c>
      <c r="R50" s="282">
        <f>SUM(R38:R49)</f>
        <v>90575.633873617699</v>
      </c>
      <c r="S50" s="283">
        <f t="shared" si="11"/>
        <v>90575.633873617699</v>
      </c>
      <c r="T50" s="282">
        <f>SUM(T38:T49)</f>
        <v>0</v>
      </c>
      <c r="U50" s="283">
        <f>SUM(U38:U49)</f>
        <v>0</v>
      </c>
    </row>
    <row r="51" spans="2:39" ht="15" thickBot="1" x14ac:dyDescent="0.35">
      <c r="B51" s="49"/>
      <c r="P51" s="15" t="s">
        <v>511</v>
      </c>
      <c r="Q51" s="74"/>
      <c r="R51" s="284">
        <f>R50/W13</f>
        <v>914.90539266280507</v>
      </c>
      <c r="S51" s="285"/>
      <c r="T51" s="284" t="e">
        <f>T50/Z13</f>
        <v>#DIV/0!</v>
      </c>
      <c r="U51" s="285"/>
    </row>
    <row r="52" spans="2:39" ht="15" thickBot="1" x14ac:dyDescent="0.35">
      <c r="B52" s="49" t="s">
        <v>183</v>
      </c>
      <c r="C52" s="45"/>
      <c r="D52" s="45"/>
      <c r="P52" s="15"/>
      <c r="Q52" s="15"/>
      <c r="R52" s="65"/>
      <c r="S52" s="65"/>
      <c r="T52" s="65"/>
      <c r="U52" s="65"/>
    </row>
    <row r="53" spans="2:39" ht="15" thickBot="1" x14ac:dyDescent="0.35">
      <c r="B53" s="50" t="s">
        <v>184</v>
      </c>
      <c r="C53" s="45"/>
      <c r="D53" s="464" t="s">
        <v>186</v>
      </c>
      <c r="P53" s="15"/>
      <c r="Q53" s="15"/>
      <c r="R53" s="65"/>
      <c r="S53" s="65"/>
      <c r="T53" s="65"/>
      <c r="U53" s="65"/>
    </row>
    <row r="54" spans="2:39" ht="26.4" customHeight="1" x14ac:dyDescent="0.3">
      <c r="B54" s="603" t="s">
        <v>505</v>
      </c>
      <c r="C54" s="603"/>
      <c r="D54" s="60">
        <f>VLOOKUP(D53,Lookup!P4:Q103,2,FALSE)</f>
        <v>965</v>
      </c>
      <c r="P54" s="15"/>
      <c r="Q54" s="15"/>
      <c r="R54" s="65"/>
      <c r="S54" s="65"/>
      <c r="T54" s="65"/>
      <c r="U54" s="65"/>
    </row>
    <row r="55" spans="2:39" ht="4.2" customHeight="1" x14ac:dyDescent="0.3">
      <c r="B55" s="50"/>
      <c r="D55" s="60"/>
      <c r="P55" s="15"/>
      <c r="Q55" s="15"/>
      <c r="R55" s="65"/>
      <c r="S55" s="65"/>
      <c r="T55" s="65"/>
      <c r="U55" s="65"/>
    </row>
    <row r="56" spans="2:39" x14ac:dyDescent="0.3">
      <c r="B56" s="269" t="s">
        <v>607</v>
      </c>
      <c r="P56" s="15"/>
      <c r="Q56" s="15"/>
      <c r="R56" s="65"/>
      <c r="S56" s="65"/>
      <c r="T56" s="65"/>
      <c r="U56" s="65"/>
    </row>
    <row r="57" spans="2:39" x14ac:dyDescent="0.3">
      <c r="B57" s="50" t="str">
        <f>"Ertrag bei Ausrichtung "&amp;PVAusrichtung&amp;"° und Neigung "&amp;PVNeigung&amp;"°:"</f>
        <v>Ertrag bei Ausrichtung 180° und Neigung 45°:</v>
      </c>
      <c r="D57" s="60">
        <f>IF(D28=0,0,R51)</f>
        <v>914.90539266280507</v>
      </c>
      <c r="P57" s="15"/>
      <c r="Q57" s="15"/>
      <c r="R57" s="65"/>
      <c r="S57" s="65"/>
      <c r="T57" s="65"/>
      <c r="U57" s="65"/>
    </row>
    <row r="58" spans="2:39" x14ac:dyDescent="0.3">
      <c r="B58" s="50" t="s">
        <v>287</v>
      </c>
      <c r="C58" s="45"/>
      <c r="D58" s="59">
        <f>IF(D59="",PVKapazität*D57,D59)</f>
        <v>90575.633873617699</v>
      </c>
      <c r="P58" s="15"/>
      <c r="Q58" s="15"/>
      <c r="R58" s="65"/>
      <c r="S58" s="65"/>
      <c r="T58" s="65"/>
      <c r="U58" s="65"/>
    </row>
    <row r="59" spans="2:39" x14ac:dyDescent="0.3">
      <c r="B59" s="50" t="s">
        <v>602</v>
      </c>
      <c r="C59" s="45"/>
      <c r="D59" s="257"/>
      <c r="P59" s="15"/>
      <c r="Q59" s="15"/>
      <c r="R59" s="65"/>
      <c r="S59" s="65"/>
      <c r="T59" s="65"/>
      <c r="U59" s="65"/>
    </row>
    <row r="60" spans="2:39" ht="6" customHeight="1" x14ac:dyDescent="0.3">
      <c r="B60" s="50"/>
      <c r="C60" s="45"/>
      <c r="P60" s="15"/>
      <c r="Q60" s="15"/>
      <c r="R60" s="65"/>
      <c r="S60" s="65"/>
      <c r="T60" s="65"/>
      <c r="U60" s="65"/>
    </row>
    <row r="61" spans="2:39" x14ac:dyDescent="0.3">
      <c r="B61" s="269" t="s">
        <v>608</v>
      </c>
      <c r="P61" s="15"/>
      <c r="Q61" s="15"/>
      <c r="R61" s="65"/>
      <c r="S61" s="65"/>
      <c r="T61" s="65"/>
      <c r="U61" s="65"/>
    </row>
    <row r="62" spans="2:39" x14ac:dyDescent="0.3">
      <c r="B62" s="50" t="str">
        <f>"Ertrag bei Ausrichtung "&amp;PVAusrichtung&amp;"° und Neigung "&amp;PVNeigung&amp;"°:"</f>
        <v>Ertrag bei Ausrichtung 180° und Neigung 45°:</v>
      </c>
      <c r="D62" s="60">
        <f>IF(D44=0,0,T51)</f>
        <v>0</v>
      </c>
      <c r="P62" s="15"/>
      <c r="Q62" s="15"/>
      <c r="R62" s="65"/>
      <c r="S62" s="65"/>
      <c r="T62" s="65"/>
      <c r="U62" s="65"/>
    </row>
    <row r="63" spans="2:39" x14ac:dyDescent="0.3">
      <c r="B63" s="50" t="s">
        <v>287</v>
      </c>
      <c r="C63" s="45"/>
      <c r="D63" s="59">
        <f>IF(D64="",PV2Kapazität*D62,D64)</f>
        <v>0</v>
      </c>
      <c r="P63" s="15"/>
      <c r="Q63" s="15"/>
      <c r="R63" s="65"/>
      <c r="S63" s="65"/>
      <c r="T63" s="65"/>
      <c r="U63" s="65"/>
    </row>
    <row r="64" spans="2:39" x14ac:dyDescent="0.3">
      <c r="B64" s="50" t="s">
        <v>602</v>
      </c>
      <c r="C64" s="45"/>
      <c r="D64" s="257"/>
      <c r="P64" s="15"/>
      <c r="Q64" s="15"/>
      <c r="R64" s="65"/>
      <c r="S64" s="65"/>
      <c r="T64" s="65"/>
      <c r="U64" s="65"/>
    </row>
    <row r="65" spans="2:39" x14ac:dyDescent="0.3">
      <c r="B65" s="50" t="s">
        <v>609</v>
      </c>
      <c r="D65" s="280">
        <f>D58+D63</f>
        <v>90575.633873617699</v>
      </c>
      <c r="S65" s="65"/>
      <c r="T65" s="65"/>
      <c r="U65" s="65"/>
    </row>
    <row r="66" spans="2:39" x14ac:dyDescent="0.3">
      <c r="P66" s="15"/>
      <c r="Q66" s="15"/>
      <c r="R66" s="65"/>
      <c r="S66" s="65"/>
      <c r="T66" s="65"/>
      <c r="U66" s="65"/>
    </row>
    <row r="67" spans="2:39" ht="15.6" x14ac:dyDescent="0.35">
      <c r="B67" t="s">
        <v>507</v>
      </c>
      <c r="D67" s="161">
        <f>EmissionsfaktorStrom</f>
        <v>0.5</v>
      </c>
      <c r="X67" s="74"/>
      <c r="Y67" s="74"/>
      <c r="Z67" s="74"/>
      <c r="AA67" s="74"/>
      <c r="AB67" s="74"/>
      <c r="AC67" s="74"/>
      <c r="AD67" s="74"/>
      <c r="AE67" s="74"/>
      <c r="AF67" s="74"/>
      <c r="AG67" s="74"/>
      <c r="AH67" s="74"/>
      <c r="AI67" s="74"/>
      <c r="AJ67" s="74"/>
      <c r="AK67" s="74"/>
      <c r="AL67" s="74"/>
      <c r="AM67" s="74"/>
    </row>
    <row r="68" spans="2:39" x14ac:dyDescent="0.3">
      <c r="N68" s="74"/>
      <c r="X68" s="74"/>
      <c r="Y68" s="74"/>
      <c r="Z68" s="74"/>
      <c r="AA68" s="74"/>
      <c r="AB68" s="74"/>
      <c r="AC68" s="74"/>
      <c r="AD68" s="74"/>
      <c r="AE68" s="74"/>
      <c r="AF68" s="74"/>
      <c r="AG68" s="74"/>
      <c r="AH68" s="74"/>
      <c r="AI68" s="74"/>
      <c r="AJ68" s="74"/>
      <c r="AK68" s="74"/>
      <c r="AL68" s="74"/>
      <c r="AM68" s="74"/>
    </row>
    <row r="69" spans="2:39" ht="15.6" x14ac:dyDescent="0.35">
      <c r="B69" s="49" t="s">
        <v>508</v>
      </c>
      <c r="D69" s="112">
        <f>D65*D67</f>
        <v>45287.816936808849</v>
      </c>
    </row>
    <row r="70" spans="2:39" x14ac:dyDescent="0.3">
      <c r="B70" s="374" t="str">
        <f>IF(VerbrauchsanteilSchulePV&lt;&gt;100%,"Hinweis: Zur Berechnung der CO2-Bilanz werden nur "&amp;TEXT(VerbrauchsanteilSchulePV,"0 %")&amp;" der hier erfassten CO2-Gutschrift verwendet.","")</f>
        <v>Hinweis: Zur Berechnung der CO2-Bilanz werden nur 50 % der hier erfassten CO2-Gutschrift verwendet.</v>
      </c>
    </row>
    <row r="71" spans="2:39" x14ac:dyDescent="0.3">
      <c r="B71" s="374" t="str">
        <f>IF(VerbrauchsanteilSchulePV&lt;&gt;100%,"Dies entspricht "&amp;TEXT($D$69*VerbrauchsanteilSchulePV,"#.##0")&amp;" kg CO2. Der Anteil der Schule kann im Tabellenblatt Einstellungen geändert werden.","")</f>
        <v>Dies entspricht 22.644 kg CO2. Der Anteil der Schule kann im Tabellenblatt Einstellungen geändert werden.</v>
      </c>
    </row>
    <row r="72" spans="2:39" x14ac:dyDescent="0.3"/>
    <row r="73" spans="2:39" ht="18" x14ac:dyDescent="0.35">
      <c r="B73" t="s">
        <v>633</v>
      </c>
      <c r="E73" s="70">
        <f>PVBestandJahresertrag/Jahresstromverbrauch</f>
        <v>0.90576539639014086</v>
      </c>
    </row>
    <row r="74" spans="2:39" x14ac:dyDescent="0.3"/>
    <row r="75" spans="2:39" x14ac:dyDescent="0.3">
      <c r="C75" s="242"/>
      <c r="D75" s="242" t="s">
        <v>564</v>
      </c>
      <c r="E75" s="596" t="s">
        <v>565</v>
      </c>
      <c r="F75" s="596"/>
    </row>
    <row r="76" spans="2:39" x14ac:dyDescent="0.3"/>
    <row r="77" spans="2:39" x14ac:dyDescent="0.3"/>
    <row r="78" spans="2:39" ht="18" thickBot="1" x14ac:dyDescent="0.4">
      <c r="B78" s="3" t="s">
        <v>512</v>
      </c>
      <c r="C78" s="3"/>
      <c r="D78" s="3"/>
      <c r="E78" s="3"/>
    </row>
    <row r="79" spans="2:39" ht="15" thickTop="1" x14ac:dyDescent="0.3"/>
    <row r="80" spans="2:39" x14ac:dyDescent="0.3">
      <c r="B80" s="600" t="s">
        <v>575</v>
      </c>
      <c r="C80" s="600"/>
      <c r="D80" s="600"/>
      <c r="E80" s="600"/>
      <c r="F80" s="600"/>
      <c r="G80" s="600"/>
    </row>
    <row r="81" spans="2:21" x14ac:dyDescent="0.3">
      <c r="B81" s="600"/>
      <c r="C81" s="600"/>
      <c r="D81" s="600"/>
      <c r="E81" s="600"/>
      <c r="F81" s="600"/>
      <c r="G81" s="600"/>
    </row>
    <row r="82" spans="2:21" x14ac:dyDescent="0.3">
      <c r="B82" s="600"/>
      <c r="C82" s="600"/>
      <c r="D82" s="600"/>
      <c r="E82" s="600"/>
      <c r="F82" s="600"/>
      <c r="G82" s="600"/>
    </row>
    <row r="83" spans="2:21" ht="15" thickBot="1" x14ac:dyDescent="0.35"/>
    <row r="84" spans="2:21" x14ac:dyDescent="0.3">
      <c r="B84" s="172" t="s">
        <v>140</v>
      </c>
      <c r="C84" s="173" t="s">
        <v>288</v>
      </c>
      <c r="D84" s="173" t="s">
        <v>289</v>
      </c>
      <c r="E84" s="173" t="s">
        <v>303</v>
      </c>
      <c r="F84" s="601" t="s">
        <v>570</v>
      </c>
      <c r="G84" s="602"/>
      <c r="N84" s="174" t="s">
        <v>571</v>
      </c>
      <c r="O84" s="174" t="s">
        <v>572</v>
      </c>
      <c r="P84" s="174" t="s">
        <v>573</v>
      </c>
      <c r="Q84" s="174" t="s">
        <v>574</v>
      </c>
      <c r="S84" s="258"/>
      <c r="T84" s="258"/>
      <c r="U84" s="258"/>
    </row>
    <row r="85" spans="2:21" x14ac:dyDescent="0.3">
      <c r="B85" s="175" t="s">
        <v>290</v>
      </c>
      <c r="C85" s="223">
        <f t="shared" ref="C85:C96" si="16">Q38</f>
        <v>3280.7573303752069</v>
      </c>
      <c r="D85" s="223">
        <f>Jahresstromverbrauch*E85</f>
        <v>9393.9060599999975</v>
      </c>
      <c r="E85" s="220">
        <f t="shared" ref="E85:E96" si="17">Q85</f>
        <v>9.3939999999999982E-2</v>
      </c>
      <c r="F85" s="597"/>
      <c r="G85" s="598"/>
      <c r="N85" s="176">
        <v>9.3939999999999996E-2</v>
      </c>
      <c r="O85" s="34" t="b">
        <f>AND(F85&lt;&gt;"",ISNUMBER(F85))</f>
        <v>0</v>
      </c>
      <c r="P85" s="34">
        <f>IF(O85,F85,0)</f>
        <v>0</v>
      </c>
      <c r="Q85" s="176">
        <f t="shared" ref="Q85:Q96" si="18">IF($O$97,P85/$P$97,IF(O85,P85/$P$98,N85/$P$100*$P$99/Jahresstromverbrauch))</f>
        <v>9.3939999999999982E-2</v>
      </c>
      <c r="S85" s="259"/>
      <c r="T85" s="259"/>
      <c r="U85" s="259"/>
    </row>
    <row r="86" spans="2:21" x14ac:dyDescent="0.3">
      <c r="B86" s="175" t="s">
        <v>291</v>
      </c>
      <c r="C86" s="223">
        <f t="shared" si="16"/>
        <v>4989.0670569047052</v>
      </c>
      <c r="D86" s="223">
        <f t="shared" ref="D86:D96" si="19">Jahresstromverbrauch*E86</f>
        <v>8662.9133699999984</v>
      </c>
      <c r="E86" s="220">
        <f t="shared" si="17"/>
        <v>8.6629999999999985E-2</v>
      </c>
      <c r="F86" s="597"/>
      <c r="G86" s="598"/>
      <c r="N86" s="176">
        <v>8.6629999999999999E-2</v>
      </c>
      <c r="O86" s="34" t="b">
        <f t="shared" ref="O86:O96" si="20">AND(F86&lt;&gt;"",ISNUMBER(F86))</f>
        <v>0</v>
      </c>
      <c r="P86" s="34">
        <f t="shared" ref="P86:P96" si="21">IF(O86,F86,0)</f>
        <v>0</v>
      </c>
      <c r="Q86" s="176">
        <f t="shared" si="18"/>
        <v>8.6629999999999985E-2</v>
      </c>
      <c r="S86" s="259"/>
      <c r="T86" s="259"/>
      <c r="U86" s="259"/>
    </row>
    <row r="87" spans="2:21" x14ac:dyDescent="0.3">
      <c r="B87" s="175" t="s">
        <v>292</v>
      </c>
      <c r="C87" s="223">
        <f t="shared" si="16"/>
        <v>7490.7797062674126</v>
      </c>
      <c r="D87" s="223">
        <f t="shared" si="19"/>
        <v>9010.909889999999</v>
      </c>
      <c r="E87" s="220">
        <f t="shared" si="17"/>
        <v>9.0109999999999996E-2</v>
      </c>
      <c r="F87" s="597"/>
      <c r="G87" s="598"/>
      <c r="N87" s="176">
        <v>9.0109999999999996E-2</v>
      </c>
      <c r="O87" s="34" t="b">
        <f t="shared" si="20"/>
        <v>0</v>
      </c>
      <c r="P87" s="34">
        <f t="shared" si="21"/>
        <v>0</v>
      </c>
      <c r="Q87" s="176">
        <f t="shared" si="18"/>
        <v>9.0109999999999996E-2</v>
      </c>
      <c r="S87" s="259"/>
      <c r="T87" s="259"/>
      <c r="U87" s="259"/>
    </row>
    <row r="88" spans="2:21" x14ac:dyDescent="0.3">
      <c r="B88" s="175" t="s">
        <v>293</v>
      </c>
      <c r="C88" s="223">
        <f t="shared" si="16"/>
        <v>9417.4348825617944</v>
      </c>
      <c r="D88" s="223">
        <f t="shared" si="19"/>
        <v>8326.916729999999</v>
      </c>
      <c r="E88" s="220">
        <f t="shared" si="17"/>
        <v>8.3269999999999997E-2</v>
      </c>
      <c r="F88" s="597"/>
      <c r="G88" s="598"/>
      <c r="N88" s="176">
        <v>8.3269999999999997E-2</v>
      </c>
      <c r="O88" s="34" t="b">
        <f t="shared" si="20"/>
        <v>0</v>
      </c>
      <c r="P88" s="34">
        <f t="shared" si="21"/>
        <v>0</v>
      </c>
      <c r="Q88" s="176">
        <f t="shared" si="18"/>
        <v>8.3269999999999997E-2</v>
      </c>
      <c r="S88" s="259"/>
      <c r="T88" s="259"/>
      <c r="U88" s="259"/>
    </row>
    <row r="89" spans="2:21" x14ac:dyDescent="0.3">
      <c r="B89" s="175" t="s">
        <v>146</v>
      </c>
      <c r="C89" s="223">
        <f t="shared" si="16"/>
        <v>10814.602429933993</v>
      </c>
      <c r="D89" s="223">
        <f t="shared" si="19"/>
        <v>7961.9203799999996</v>
      </c>
      <c r="E89" s="220">
        <f t="shared" si="17"/>
        <v>7.9619999999999996E-2</v>
      </c>
      <c r="F89" s="597"/>
      <c r="G89" s="598"/>
      <c r="N89" s="176">
        <v>7.962000000000001E-2</v>
      </c>
      <c r="O89" s="34" t="b">
        <f t="shared" si="20"/>
        <v>0</v>
      </c>
      <c r="P89" s="34">
        <f t="shared" si="21"/>
        <v>0</v>
      </c>
      <c r="Q89" s="176">
        <f t="shared" si="18"/>
        <v>7.9619999999999996E-2</v>
      </c>
      <c r="S89" s="259"/>
      <c r="T89" s="259"/>
      <c r="U89" s="259"/>
    </row>
    <row r="90" spans="2:21" x14ac:dyDescent="0.3">
      <c r="B90" s="175" t="s">
        <v>294</v>
      </c>
      <c r="C90" s="223">
        <f t="shared" si="16"/>
        <v>10798.852953937696</v>
      </c>
      <c r="D90" s="223">
        <f t="shared" si="19"/>
        <v>7464.9253499999995</v>
      </c>
      <c r="E90" s="220">
        <f t="shared" si="17"/>
        <v>7.4649999999999994E-2</v>
      </c>
      <c r="F90" s="597"/>
      <c r="G90" s="598"/>
      <c r="N90" s="176">
        <v>7.4650000000000008E-2</v>
      </c>
      <c r="O90" s="34" t="b">
        <f t="shared" si="20"/>
        <v>0</v>
      </c>
      <c r="P90" s="34">
        <f t="shared" si="21"/>
        <v>0</v>
      </c>
      <c r="Q90" s="176">
        <f t="shared" si="18"/>
        <v>7.4649999999999994E-2</v>
      </c>
      <c r="S90" s="259"/>
      <c r="T90" s="259"/>
      <c r="U90" s="259"/>
    </row>
    <row r="91" spans="2:21" x14ac:dyDescent="0.3">
      <c r="B91" s="175" t="s">
        <v>295</v>
      </c>
      <c r="C91" s="223">
        <f t="shared" si="16"/>
        <v>11540.96386100237</v>
      </c>
      <c r="D91" s="223">
        <f t="shared" si="19"/>
        <v>7757.9224199999981</v>
      </c>
      <c r="E91" s="220">
        <f t="shared" si="17"/>
        <v>7.7579999999999982E-2</v>
      </c>
      <c r="F91" s="597"/>
      <c r="G91" s="598"/>
      <c r="N91" s="176">
        <v>7.7579999999999996E-2</v>
      </c>
      <c r="O91" s="34" t="b">
        <f t="shared" si="20"/>
        <v>0</v>
      </c>
      <c r="P91" s="34">
        <f t="shared" si="21"/>
        <v>0</v>
      </c>
      <c r="Q91" s="176">
        <f t="shared" si="18"/>
        <v>7.7579999999999982E-2</v>
      </c>
      <c r="S91" s="259"/>
      <c r="T91" s="259"/>
      <c r="U91" s="259"/>
    </row>
    <row r="92" spans="2:21" x14ac:dyDescent="0.3">
      <c r="B92" s="175" t="s">
        <v>296</v>
      </c>
      <c r="C92" s="223">
        <f t="shared" si="16"/>
        <v>11021.083732005047</v>
      </c>
      <c r="D92" s="223">
        <f t="shared" si="19"/>
        <v>7551.9244799999979</v>
      </c>
      <c r="E92" s="220">
        <f t="shared" si="17"/>
        <v>7.5519999999999976E-2</v>
      </c>
      <c r="F92" s="597"/>
      <c r="G92" s="598"/>
      <c r="N92" s="176">
        <v>7.551999999999999E-2</v>
      </c>
      <c r="O92" s="34" t="b">
        <f t="shared" si="20"/>
        <v>0</v>
      </c>
      <c r="P92" s="34">
        <f t="shared" si="21"/>
        <v>0</v>
      </c>
      <c r="Q92" s="176">
        <f t="shared" si="18"/>
        <v>7.5519999999999976E-2</v>
      </c>
      <c r="S92" s="259"/>
      <c r="T92" s="259"/>
      <c r="U92" s="259"/>
    </row>
    <row r="93" spans="2:21" x14ac:dyDescent="0.3">
      <c r="B93" s="175" t="s">
        <v>297</v>
      </c>
      <c r="C93" s="223">
        <f t="shared" si="16"/>
        <v>8655.1270901495409</v>
      </c>
      <c r="D93" s="223">
        <f t="shared" si="19"/>
        <v>7566.9243299999989</v>
      </c>
      <c r="E93" s="220">
        <f t="shared" si="17"/>
        <v>7.5669999999999987E-2</v>
      </c>
      <c r="F93" s="597"/>
      <c r="G93" s="598"/>
      <c r="N93" s="176">
        <v>7.5670000000000001E-2</v>
      </c>
      <c r="O93" s="34" t="b">
        <f t="shared" si="20"/>
        <v>0</v>
      </c>
      <c r="P93" s="34">
        <f t="shared" si="21"/>
        <v>0</v>
      </c>
      <c r="Q93" s="176">
        <f t="shared" si="18"/>
        <v>7.5669999999999987E-2</v>
      </c>
      <c r="S93" s="259"/>
      <c r="T93" s="259"/>
      <c r="U93" s="259"/>
    </row>
    <row r="94" spans="2:21" x14ac:dyDescent="0.3">
      <c r="B94" s="175" t="s">
        <v>298</v>
      </c>
      <c r="C94" s="223">
        <f t="shared" si="16"/>
        <v>5931.9695931821907</v>
      </c>
      <c r="D94" s="223">
        <f t="shared" si="19"/>
        <v>8550.9144899999992</v>
      </c>
      <c r="E94" s="220">
        <f t="shared" si="17"/>
        <v>8.5509999999999989E-2</v>
      </c>
      <c r="F94" s="597"/>
      <c r="G94" s="598"/>
      <c r="N94" s="176">
        <v>8.5510000000000003E-2</v>
      </c>
      <c r="O94" s="34" t="b">
        <f t="shared" si="20"/>
        <v>0</v>
      </c>
      <c r="P94" s="34">
        <f t="shared" si="21"/>
        <v>0</v>
      </c>
      <c r="Q94" s="176">
        <f t="shared" si="18"/>
        <v>8.5509999999999989E-2</v>
      </c>
      <c r="S94" s="259"/>
      <c r="T94" s="259"/>
      <c r="U94" s="259"/>
    </row>
    <row r="95" spans="2:21" x14ac:dyDescent="0.3">
      <c r="B95" s="175" t="s">
        <v>299</v>
      </c>
      <c r="C95" s="223">
        <f t="shared" si="16"/>
        <v>3916.0180133511767</v>
      </c>
      <c r="D95" s="223">
        <f t="shared" si="19"/>
        <v>8564.9143499999991</v>
      </c>
      <c r="E95" s="220">
        <f t="shared" si="17"/>
        <v>8.564999999999999E-2</v>
      </c>
      <c r="F95" s="597"/>
      <c r="G95" s="598"/>
      <c r="N95" s="176">
        <v>8.5650000000000004E-2</v>
      </c>
      <c r="O95" s="34" t="b">
        <f t="shared" si="20"/>
        <v>0</v>
      </c>
      <c r="P95" s="34">
        <f t="shared" si="21"/>
        <v>0</v>
      </c>
      <c r="Q95" s="176">
        <f t="shared" si="18"/>
        <v>8.564999999999999E-2</v>
      </c>
      <c r="S95" s="259"/>
      <c r="T95" s="259"/>
      <c r="U95" s="259"/>
    </row>
    <row r="96" spans="2:21" ht="15" thickBot="1" x14ac:dyDescent="0.35">
      <c r="B96" s="175" t="s">
        <v>300</v>
      </c>
      <c r="C96" s="223">
        <f t="shared" si="16"/>
        <v>2718.9772239465638</v>
      </c>
      <c r="D96" s="223">
        <f t="shared" si="19"/>
        <v>9184.9081499999993</v>
      </c>
      <c r="E96" s="220">
        <f t="shared" si="17"/>
        <v>9.1849999999999987E-2</v>
      </c>
      <c r="F96" s="597"/>
      <c r="G96" s="598"/>
      <c r="N96" s="177">
        <v>9.1850000000000001E-2</v>
      </c>
      <c r="O96" s="34" t="b">
        <f t="shared" si="20"/>
        <v>0</v>
      </c>
      <c r="P96" s="34">
        <f t="shared" si="21"/>
        <v>0</v>
      </c>
      <c r="Q96" s="176">
        <f t="shared" si="18"/>
        <v>9.1849999999999987E-2</v>
      </c>
      <c r="S96" s="259"/>
      <c r="T96" s="259"/>
      <c r="U96" s="259"/>
    </row>
    <row r="97" spans="2:23" ht="15" thickBot="1" x14ac:dyDescent="0.35">
      <c r="B97" s="222" t="s">
        <v>57</v>
      </c>
      <c r="C97" s="224">
        <f>SUM(C85:C96)</f>
        <v>90575.633873617699</v>
      </c>
      <c r="D97" s="224">
        <f>SUM(D85:D96)</f>
        <v>99998.999999999971</v>
      </c>
      <c r="E97" s="225">
        <f>SUM(E85:E96)</f>
        <v>0.99999999999999989</v>
      </c>
      <c r="F97" s="67"/>
      <c r="G97" s="221"/>
      <c r="N97" s="176">
        <f>SUM(N85:N96)</f>
        <v>1.0000000000000002</v>
      </c>
      <c r="O97" s="8" t="b">
        <f>AND(O85:O96)</f>
        <v>0</v>
      </c>
      <c r="P97" s="150">
        <f>SUM(P85:P96)</f>
        <v>0</v>
      </c>
      <c r="Q97" s="176">
        <f>SUM(Q85:Q96)</f>
        <v>0.99999999999999989</v>
      </c>
      <c r="S97" s="259"/>
      <c r="T97" s="259"/>
      <c r="U97" s="259"/>
    </row>
    <row r="98" spans="2:23" x14ac:dyDescent="0.3">
      <c r="P98" s="74">
        <f>MAX(Jahresstromverbrauch,P97)</f>
        <v>99999</v>
      </c>
      <c r="Q98" s="226" t="e">
        <f>P98/$P$97</f>
        <v>#DIV/0!</v>
      </c>
      <c r="S98" s="260"/>
      <c r="T98" s="260"/>
      <c r="U98" s="260"/>
    </row>
    <row r="99" spans="2:23" x14ac:dyDescent="0.3">
      <c r="N99" t="s">
        <v>585</v>
      </c>
      <c r="P99" s="74">
        <f>MAX(Jahresstromverbrauch-P97,0)</f>
        <v>99999</v>
      </c>
      <c r="Q99" s="74"/>
      <c r="W99" s="74"/>
    </row>
    <row r="100" spans="2:23" x14ac:dyDescent="0.3">
      <c r="N100" t="s">
        <v>577</v>
      </c>
      <c r="P100">
        <f>SUMIF($O$85:$O$96,FALSE,$N$85:$N$96)</f>
        <v>1.0000000000000002</v>
      </c>
      <c r="W100" s="74"/>
    </row>
    <row r="101" spans="2:23" hidden="1" x14ac:dyDescent="0.3">
      <c r="N101" t="s">
        <v>576</v>
      </c>
      <c r="P101" s="227" t="e">
        <f>IF(O97,Jahresstromverbrauch/P97,Jahresstromverbrauch/SUM(P85:P96))</f>
        <v>#DIV/0!</v>
      </c>
      <c r="Q101" s="281"/>
    </row>
    <row r="118" spans="2:4" hidden="1" x14ac:dyDescent="0.3">
      <c r="B118" s="8" t="s">
        <v>307</v>
      </c>
    </row>
    <row r="119" spans="2:4" hidden="1" x14ac:dyDescent="0.3">
      <c r="B119" t="s">
        <v>1244</v>
      </c>
    </row>
    <row r="120" spans="2:4" ht="15" hidden="1" thickBot="1" x14ac:dyDescent="0.35"/>
    <row r="121" spans="2:4" ht="15" hidden="1" thickBot="1" x14ac:dyDescent="0.35">
      <c r="B121" s="43" t="s">
        <v>133</v>
      </c>
      <c r="C121" s="61" t="s">
        <v>140</v>
      </c>
      <c r="D121" s="62">
        <v>2000</v>
      </c>
    </row>
    <row r="122" spans="2:4" ht="15" hidden="1" thickBot="1" x14ac:dyDescent="0.35">
      <c r="B122" s="44" t="s">
        <v>135</v>
      </c>
      <c r="C122" s="45"/>
      <c r="D122" s="45"/>
    </row>
    <row r="123" spans="2:4" ht="15" hidden="1" thickBot="1" x14ac:dyDescent="0.35">
      <c r="B123" s="43" t="s">
        <v>136</v>
      </c>
      <c r="C123" s="45"/>
      <c r="D123" s="62" t="s">
        <v>114</v>
      </c>
    </row>
    <row r="124" spans="2:4" hidden="1" x14ac:dyDescent="0.3">
      <c r="B124" s="44" t="s">
        <v>137</v>
      </c>
      <c r="C124" s="45"/>
      <c r="D124" s="45"/>
    </row>
  </sheetData>
  <sheetProtection algorithmName="SHA-512" hashValue="mxdSLnvY9+FwJ1dH+pBPHxUGm55p0V2bJ647DQuBlfQ+xE8G35bXeneFwsXSXsGQ2XGh7U7u4cXfBtHhKB1OIA==" saltValue="LJATvahtZE+gxqiAGrgqZw==" spinCount="100000" sheet="1" objects="1" scenarios="1"/>
  <mergeCells count="19">
    <mergeCell ref="F87:G87"/>
    <mergeCell ref="E75:F75"/>
    <mergeCell ref="B22:D23"/>
    <mergeCell ref="B9:J17"/>
    <mergeCell ref="B80:G82"/>
    <mergeCell ref="F84:G84"/>
    <mergeCell ref="F85:G85"/>
    <mergeCell ref="F86:G86"/>
    <mergeCell ref="B38:D39"/>
    <mergeCell ref="B54:C54"/>
    <mergeCell ref="F94:G94"/>
    <mergeCell ref="F95:G95"/>
    <mergeCell ref="F96:G96"/>
    <mergeCell ref="F88:G88"/>
    <mergeCell ref="F89:G89"/>
    <mergeCell ref="F90:G90"/>
    <mergeCell ref="F91:G91"/>
    <mergeCell ref="F92:G92"/>
    <mergeCell ref="F93:G93"/>
  </mergeCells>
  <dataValidations disablePrompts="1" count="2">
    <dataValidation type="list" allowBlank="1" showInputMessage="1" showErrorMessage="1" sqref="D123">
      <formula1>"bitte wählen,Ja,Nein,keine Angabe"</formula1>
    </dataValidation>
    <dataValidation allowBlank="1" showInputMessage="1" showErrorMessage="1" promptTitle="Solarertrag absolut" prompt="Der genaue Solarertrag im Bezugsjahr kann hier eingetragen werden. In diesem Fall wird oben mit dem eingegebenen Solarertrag gerechnet. " sqref="D64 D59"/>
  </dataValidations>
  <hyperlinks>
    <hyperlink ref="A5" location="Inhalt!A1" display="&lt;= Start"/>
    <hyperlink ref="D75" location="Inhalt!A1" display="&lt;== zur Übersicht"/>
    <hyperlink ref="E75" location="Ergebnis!A1" display="zum Ergebnis ==&gt;"/>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Lookup!$O$4:$O$30</xm:f>
          </x14:formula1>
          <xm:sqref>D121</xm:sqref>
        </x14:dataValidation>
        <x14:dataValidation type="list" allowBlank="1" showInputMessage="1" showErrorMessage="1">
          <x14:formula1>
            <xm:f>Lookup!$N$4:$N$16</xm:f>
          </x14:formula1>
          <xm:sqref>C121</xm:sqref>
        </x14:dataValidation>
        <x14:dataValidation type="list" allowBlank="1" showInputMessage="1" showErrorMessage="1">
          <x14:formula1>
            <xm:f>Lookup!$L$24:$L$34</xm:f>
          </x14:formula1>
          <xm:sqref>D33 D49</xm:sqref>
        </x14:dataValidation>
        <x14:dataValidation type="list" allowBlank="1" showInputMessage="1" showErrorMessage="1">
          <x14:formula1>
            <xm:f>Lookup!$J$24:$J$29</xm:f>
          </x14:formula1>
          <xm:sqref>D31 D47</xm:sqref>
        </x14:dataValidation>
        <x14:dataValidation type="list" allowBlank="1" showInputMessage="1" showErrorMessage="1">
          <x14:formula1>
            <xm:f>Lookup!$P$4:$P$103</xm:f>
          </x14:formula1>
          <xm:sqref>D53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5989"/>
  </sheetPr>
  <dimension ref="A1:Y168"/>
  <sheetViews>
    <sheetView showGridLines="0" topLeftCell="A9" workbookViewId="0">
      <selection activeCell="E18" sqref="E18"/>
    </sheetView>
  </sheetViews>
  <sheetFormatPr baseColWidth="10" defaultColWidth="0" defaultRowHeight="14.4" x14ac:dyDescent="0.3"/>
  <cols>
    <col min="1" max="1" width="8.88671875" customWidth="1"/>
    <col min="2" max="2" width="32.33203125" customWidth="1"/>
    <col min="3" max="3" width="10.6640625" customWidth="1"/>
    <col min="4" max="4" width="11.109375" customWidth="1"/>
    <col min="5" max="5" width="17.33203125" customWidth="1"/>
    <col min="6" max="6" width="13.33203125" customWidth="1"/>
    <col min="7" max="7" width="11.5546875" customWidth="1"/>
    <col min="8" max="8" width="17.33203125" customWidth="1"/>
    <col min="9" max="9" width="3.33203125" customWidth="1"/>
    <col min="10" max="18" width="8.88671875" hidden="1" customWidth="1"/>
    <col min="19" max="19" width="18.33203125" hidden="1" customWidth="1"/>
    <col min="20" max="20" width="21.109375" hidden="1" customWidth="1"/>
    <col min="21" max="24" width="8.88671875" hidden="1" customWidth="1"/>
    <col min="25" max="25" width="17.44140625" hidden="1" customWidth="1"/>
    <col min="26" max="16384" width="8.88671875" hidden="1"/>
  </cols>
  <sheetData>
    <row r="1" spans="1:16" ht="12" customHeight="1" x14ac:dyDescent="0.3">
      <c r="A1" s="1"/>
      <c r="B1" s="1"/>
      <c r="C1" s="1"/>
      <c r="D1" s="1"/>
      <c r="E1" s="1"/>
      <c r="F1" s="1"/>
      <c r="G1" s="1"/>
      <c r="H1" s="1"/>
      <c r="I1" s="1"/>
      <c r="J1" s="1"/>
      <c r="K1" s="1"/>
      <c r="L1" s="1"/>
      <c r="M1" s="1"/>
      <c r="N1" s="1"/>
      <c r="O1" s="1"/>
      <c r="P1" s="1"/>
    </row>
    <row r="2" spans="1:16" ht="12" customHeight="1" x14ac:dyDescent="0.3">
      <c r="A2" s="1"/>
      <c r="B2" s="1"/>
      <c r="C2" s="1"/>
      <c r="D2" s="1"/>
      <c r="E2" s="1"/>
      <c r="F2" s="1"/>
      <c r="G2" s="1"/>
      <c r="H2" s="1"/>
      <c r="I2" s="1"/>
      <c r="J2" s="1"/>
      <c r="K2" s="1"/>
      <c r="L2" s="1"/>
      <c r="M2" s="1"/>
      <c r="N2" s="1"/>
      <c r="O2" s="1"/>
      <c r="P2" s="1"/>
    </row>
    <row r="3" spans="1:16" ht="32.4" customHeight="1" x14ac:dyDescent="0.55000000000000004">
      <c r="A3" s="1"/>
      <c r="B3" s="1"/>
      <c r="C3" s="354" t="s">
        <v>1264</v>
      </c>
      <c r="D3" s="1"/>
      <c r="E3" s="117"/>
      <c r="F3" s="2"/>
      <c r="G3" s="1"/>
      <c r="H3" s="1"/>
      <c r="I3" s="1"/>
      <c r="J3" s="1"/>
      <c r="K3" s="2"/>
      <c r="L3" s="1"/>
      <c r="M3" s="1"/>
      <c r="N3" s="1"/>
      <c r="O3" s="1"/>
      <c r="P3" s="1"/>
    </row>
    <row r="4" spans="1:16" ht="18.45" customHeight="1" thickBot="1" x14ac:dyDescent="0.4">
      <c r="A4" s="29"/>
      <c r="B4" s="94"/>
      <c r="C4" s="347" t="str">
        <f>NameDerSchule</f>
        <v>Schule ABC</v>
      </c>
      <c r="D4" s="29"/>
      <c r="E4" s="29"/>
      <c r="F4" s="29"/>
      <c r="G4" s="29"/>
      <c r="H4" s="29"/>
      <c r="I4" s="29"/>
      <c r="J4" s="29"/>
      <c r="K4" s="29"/>
      <c r="L4" s="29"/>
      <c r="M4" s="29"/>
      <c r="N4" s="29"/>
      <c r="O4" s="29"/>
      <c r="P4" s="29"/>
    </row>
    <row r="5" spans="1:16" ht="13.95" customHeight="1" thickTop="1" x14ac:dyDescent="0.3">
      <c r="A5" s="26" t="s">
        <v>63</v>
      </c>
    </row>
    <row r="6" spans="1:16" ht="16.2" customHeight="1" x14ac:dyDescent="0.3"/>
    <row r="7" spans="1:16" ht="6.6" customHeight="1" x14ac:dyDescent="0.3">
      <c r="B7" s="228"/>
      <c r="C7" s="229"/>
      <c r="D7" s="229"/>
      <c r="E7" s="229"/>
      <c r="F7" s="229"/>
      <c r="G7" s="229"/>
      <c r="H7" s="230"/>
    </row>
    <row r="8" spans="1:16" ht="16.2" customHeight="1" x14ac:dyDescent="0.3">
      <c r="B8" s="604" t="s">
        <v>1428</v>
      </c>
      <c r="C8" s="605"/>
      <c r="D8" s="605"/>
      <c r="E8" s="605"/>
      <c r="F8" s="605"/>
      <c r="G8" s="605"/>
      <c r="H8" s="606"/>
    </row>
    <row r="9" spans="1:16" ht="16.2" customHeight="1" x14ac:dyDescent="0.3">
      <c r="B9" s="604"/>
      <c r="C9" s="605"/>
      <c r="D9" s="605"/>
      <c r="E9" s="605"/>
      <c r="F9" s="605"/>
      <c r="G9" s="605"/>
      <c r="H9" s="606"/>
    </row>
    <row r="10" spans="1:16" ht="16.2" customHeight="1" x14ac:dyDescent="0.3">
      <c r="B10" s="604"/>
      <c r="C10" s="605"/>
      <c r="D10" s="605"/>
      <c r="E10" s="605"/>
      <c r="F10" s="605"/>
      <c r="G10" s="605"/>
      <c r="H10" s="606"/>
    </row>
    <row r="11" spans="1:16" ht="7.2" customHeight="1" x14ac:dyDescent="0.3">
      <c r="B11" s="233"/>
      <c r="C11" s="234"/>
      <c r="D11" s="234"/>
      <c r="E11" s="234"/>
      <c r="F11" s="234"/>
      <c r="G11" s="234"/>
      <c r="H11" s="235"/>
    </row>
    <row r="12" spans="1:16" ht="28.8" customHeight="1" x14ac:dyDescent="0.3">
      <c r="B12" s="607" t="s">
        <v>1403</v>
      </c>
      <c r="C12" s="608"/>
      <c r="D12" s="608"/>
      <c r="E12" s="608"/>
      <c r="F12" s="608"/>
      <c r="G12" s="608"/>
      <c r="H12" s="609"/>
    </row>
    <row r="13" spans="1:16" ht="28.8" customHeight="1" x14ac:dyDescent="0.3">
      <c r="B13" s="607"/>
      <c r="C13" s="608"/>
      <c r="D13" s="608"/>
      <c r="E13" s="608"/>
      <c r="F13" s="608"/>
      <c r="G13" s="608"/>
      <c r="H13" s="609"/>
    </row>
    <row r="14" spans="1:16" ht="28.8" customHeight="1" x14ac:dyDescent="0.3">
      <c r="B14" s="607"/>
      <c r="C14" s="608"/>
      <c r="D14" s="608"/>
      <c r="E14" s="608"/>
      <c r="F14" s="608"/>
      <c r="G14" s="608"/>
      <c r="H14" s="609"/>
    </row>
    <row r="15" spans="1:16" ht="7.2" customHeight="1" x14ac:dyDescent="0.3">
      <c r="B15" s="233"/>
      <c r="C15" s="234"/>
      <c r="D15" s="234"/>
      <c r="E15" s="234"/>
      <c r="F15" s="234"/>
      <c r="G15" s="234"/>
      <c r="H15" s="235"/>
    </row>
    <row r="16" spans="1:16" ht="33.6" customHeight="1" x14ac:dyDescent="0.3">
      <c r="B16" s="607" t="s">
        <v>1389</v>
      </c>
      <c r="C16" s="608"/>
      <c r="D16" s="608"/>
      <c r="E16" s="608"/>
      <c r="F16" s="608"/>
      <c r="G16" s="608"/>
      <c r="H16" s="609"/>
    </row>
    <row r="17" spans="1:8" ht="33.6" customHeight="1" x14ac:dyDescent="0.3">
      <c r="B17" s="607"/>
      <c r="C17" s="608"/>
      <c r="D17" s="608"/>
      <c r="E17" s="608"/>
      <c r="F17" s="608"/>
      <c r="G17" s="608"/>
      <c r="H17" s="609"/>
    </row>
    <row r="18" spans="1:8" ht="7.2" customHeight="1" x14ac:dyDescent="0.3">
      <c r="B18" s="233"/>
      <c r="C18" s="234"/>
      <c r="D18" s="234"/>
      <c r="E18" s="234"/>
      <c r="F18" s="234"/>
      <c r="G18" s="234"/>
      <c r="H18" s="235"/>
    </row>
    <row r="19" spans="1:8" ht="14.4" customHeight="1" x14ac:dyDescent="0.3">
      <c r="B19" s="607" t="s">
        <v>1390</v>
      </c>
      <c r="C19" s="608"/>
      <c r="D19" s="608"/>
      <c r="E19" s="608"/>
      <c r="F19" s="608"/>
      <c r="G19" s="608"/>
      <c r="H19" s="609"/>
    </row>
    <row r="20" spans="1:8" ht="14.4" customHeight="1" x14ac:dyDescent="0.3">
      <c r="B20" s="607"/>
      <c r="C20" s="608"/>
      <c r="D20" s="608"/>
      <c r="E20" s="608"/>
      <c r="F20" s="608"/>
      <c r="G20" s="608"/>
      <c r="H20" s="609"/>
    </row>
    <row r="21" spans="1:8" ht="14.4" customHeight="1" x14ac:dyDescent="0.3">
      <c r="B21" s="607"/>
      <c r="C21" s="608"/>
      <c r="D21" s="608"/>
      <c r="E21" s="608"/>
      <c r="F21" s="608"/>
      <c r="G21" s="608"/>
      <c r="H21" s="609"/>
    </row>
    <row r="22" spans="1:8" ht="7.2" customHeight="1" x14ac:dyDescent="0.3">
      <c r="B22" s="236"/>
      <c r="C22" s="108"/>
      <c r="D22" s="108"/>
      <c r="E22" s="108"/>
      <c r="F22" s="108"/>
      <c r="G22" s="108"/>
      <c r="H22" s="237"/>
    </row>
    <row r="23" spans="1:8" ht="33.6" customHeight="1" x14ac:dyDescent="0.3">
      <c r="B23" s="607" t="s">
        <v>1391</v>
      </c>
      <c r="C23" s="608"/>
      <c r="D23" s="608"/>
      <c r="E23" s="608"/>
      <c r="F23" s="608"/>
      <c r="G23" s="608"/>
      <c r="H23" s="609"/>
    </row>
    <row r="24" spans="1:8" ht="33.6" customHeight="1" x14ac:dyDescent="0.3">
      <c r="B24" s="607"/>
      <c r="C24" s="608"/>
      <c r="D24" s="608"/>
      <c r="E24" s="608"/>
      <c r="F24" s="608"/>
      <c r="G24" s="608"/>
      <c r="H24" s="609"/>
    </row>
    <row r="25" spans="1:8" ht="33.6" customHeight="1" x14ac:dyDescent="0.3">
      <c r="B25" s="607"/>
      <c r="C25" s="608"/>
      <c r="D25" s="608"/>
      <c r="E25" s="608"/>
      <c r="F25" s="608"/>
      <c r="G25" s="608"/>
      <c r="H25" s="609"/>
    </row>
    <row r="26" spans="1:8" ht="7.2" customHeight="1" x14ac:dyDescent="0.3">
      <c r="B26" s="206"/>
      <c r="C26" s="231"/>
      <c r="D26" s="231"/>
      <c r="E26" s="231"/>
      <c r="F26" s="231"/>
      <c r="G26" s="231"/>
      <c r="H26" s="232"/>
    </row>
    <row r="28" spans="1:8" ht="18" thickBot="1" x14ac:dyDescent="0.4">
      <c r="A28" s="116" t="s">
        <v>1258</v>
      </c>
      <c r="B28" s="3"/>
      <c r="C28" s="3"/>
      <c r="D28" s="3"/>
      <c r="E28" s="3"/>
      <c r="F28" s="3"/>
    </row>
    <row r="29" spans="1:8" ht="15" thickTop="1" x14ac:dyDescent="0.3"/>
    <row r="30" spans="1:8" x14ac:dyDescent="0.3">
      <c r="B30" t="s">
        <v>1245</v>
      </c>
    </row>
    <row r="31" spans="1:8" x14ac:dyDescent="0.3">
      <c r="B31" t="s">
        <v>454</v>
      </c>
    </row>
    <row r="32" spans="1:8" x14ac:dyDescent="0.3">
      <c r="H32" s="37"/>
    </row>
    <row r="33" spans="1:10" x14ac:dyDescent="0.3">
      <c r="B33" s="25" t="s">
        <v>950</v>
      </c>
    </row>
    <row r="34" spans="1:10" x14ac:dyDescent="0.3">
      <c r="B34" s="199"/>
    </row>
    <row r="35" spans="1:10" x14ac:dyDescent="0.3">
      <c r="B35" t="s">
        <v>952</v>
      </c>
    </row>
    <row r="36" spans="1:10" x14ac:dyDescent="0.3">
      <c r="B36" s="25" t="s">
        <v>951</v>
      </c>
    </row>
    <row r="37" spans="1:10" ht="30" customHeight="1" thickBot="1" x14ac:dyDescent="0.4">
      <c r="A37" s="116" t="s">
        <v>1260</v>
      </c>
      <c r="B37" s="3"/>
      <c r="C37" s="3"/>
      <c r="D37" s="3"/>
      <c r="E37" s="3"/>
      <c r="F37" s="3"/>
    </row>
    <row r="38" spans="1:10" ht="15" thickTop="1" x14ac:dyDescent="0.3"/>
    <row r="39" spans="1:10" ht="18" customHeight="1" x14ac:dyDescent="0.3">
      <c r="A39" s="86" t="s">
        <v>380</v>
      </c>
      <c r="B39" t="s">
        <v>1233</v>
      </c>
    </row>
    <row r="40" spans="1:10" ht="18" customHeight="1" x14ac:dyDescent="0.3">
      <c r="A40" s="86" t="s">
        <v>369</v>
      </c>
      <c r="B40" t="s">
        <v>370</v>
      </c>
    </row>
    <row r="41" spans="1:10" ht="18" customHeight="1" x14ac:dyDescent="0.3">
      <c r="A41" s="86"/>
      <c r="B41" t="s">
        <v>371</v>
      </c>
      <c r="E41" s="85"/>
      <c r="J41" s="84"/>
    </row>
    <row r="42" spans="1:10" ht="18" customHeight="1" x14ac:dyDescent="0.3">
      <c r="A42" s="86" t="s">
        <v>378</v>
      </c>
      <c r="B42" t="s">
        <v>373</v>
      </c>
      <c r="E42" s="85"/>
    </row>
    <row r="43" spans="1:10" ht="18" customHeight="1" x14ac:dyDescent="0.3">
      <c r="A43" s="86" t="s">
        <v>372</v>
      </c>
      <c r="B43" t="s">
        <v>374</v>
      </c>
      <c r="E43" s="85"/>
    </row>
    <row r="44" spans="1:10" ht="18" customHeight="1" x14ac:dyDescent="0.3">
      <c r="A44" s="86"/>
      <c r="E44" s="85"/>
    </row>
    <row r="45" spans="1:10" ht="18" customHeight="1" x14ac:dyDescent="0.3">
      <c r="A45" s="86"/>
      <c r="E45" s="85"/>
    </row>
    <row r="46" spans="1:10" ht="18" customHeight="1" x14ac:dyDescent="0.3">
      <c r="A46" s="86" t="s">
        <v>376</v>
      </c>
      <c r="B46" s="8" t="s">
        <v>375</v>
      </c>
      <c r="E46" s="85"/>
    </row>
    <row r="47" spans="1:10" ht="18" customHeight="1" x14ac:dyDescent="0.3">
      <c r="A47" s="86" t="s">
        <v>379</v>
      </c>
      <c r="B47" t="s">
        <v>1246</v>
      </c>
      <c r="E47" s="85"/>
    </row>
    <row r="48" spans="1:10" ht="18" customHeight="1" x14ac:dyDescent="0.3">
      <c r="A48" s="86" t="s">
        <v>381</v>
      </c>
      <c r="B48" t="s">
        <v>1283</v>
      </c>
      <c r="E48" s="87"/>
    </row>
    <row r="49" spans="1:7" ht="18" customHeight="1" x14ac:dyDescent="0.3">
      <c r="A49" s="86" t="s">
        <v>382</v>
      </c>
      <c r="B49" s="8" t="s">
        <v>1247</v>
      </c>
      <c r="E49" s="87"/>
    </row>
    <row r="50" spans="1:7" ht="18" customHeight="1" x14ac:dyDescent="0.3">
      <c r="A50" s="86" t="s">
        <v>381</v>
      </c>
      <c r="B50" t="s">
        <v>383</v>
      </c>
      <c r="E50" s="87"/>
    </row>
    <row r="51" spans="1:7" ht="18" customHeight="1" x14ac:dyDescent="0.3">
      <c r="A51" s="86" t="s">
        <v>379</v>
      </c>
      <c r="B51" t="s">
        <v>384</v>
      </c>
    </row>
    <row r="52" spans="1:7" ht="18" customHeight="1" x14ac:dyDescent="0.3">
      <c r="A52" s="86" t="s">
        <v>381</v>
      </c>
      <c r="B52" t="s">
        <v>385</v>
      </c>
    </row>
    <row r="53" spans="1:7" ht="18" customHeight="1" x14ac:dyDescent="0.3">
      <c r="A53" s="86" t="s">
        <v>382</v>
      </c>
      <c r="B53" t="s">
        <v>386</v>
      </c>
    </row>
    <row r="54" spans="1:7" ht="18" customHeight="1" x14ac:dyDescent="0.3">
      <c r="A54" s="86" t="s">
        <v>388</v>
      </c>
      <c r="B54" t="s">
        <v>387</v>
      </c>
    </row>
    <row r="55" spans="1:7" ht="18" customHeight="1" x14ac:dyDescent="0.3">
      <c r="A55" s="86"/>
      <c r="B55" t="s">
        <v>1195</v>
      </c>
    </row>
    <row r="56" spans="1:7" ht="18" customHeight="1" x14ac:dyDescent="0.3"/>
    <row r="58" spans="1:7" ht="18" thickBot="1" x14ac:dyDescent="0.4">
      <c r="A58" s="116" t="s">
        <v>1259</v>
      </c>
      <c r="B58" s="3"/>
      <c r="C58" s="3"/>
      <c r="D58" s="3"/>
      <c r="E58" s="3"/>
      <c r="F58" s="3"/>
    </row>
    <row r="59" spans="1:7" ht="15" thickTop="1" x14ac:dyDescent="0.3"/>
    <row r="61" spans="1:7" ht="16.2" thickBot="1" x14ac:dyDescent="0.35">
      <c r="A61" s="508" t="s">
        <v>1227</v>
      </c>
      <c r="B61" s="508" t="s">
        <v>1221</v>
      </c>
      <c r="C61" s="508"/>
      <c r="D61" s="508"/>
      <c r="E61" s="509" t="s">
        <v>1223</v>
      </c>
      <c r="F61" s="510"/>
      <c r="G61" s="510"/>
    </row>
    <row r="62" spans="1:7" ht="15" thickTop="1" x14ac:dyDescent="0.3"/>
    <row r="63" spans="1:7" x14ac:dyDescent="0.3">
      <c r="A63" s="500" t="s">
        <v>1222</v>
      </c>
      <c r="B63" s="614" t="s">
        <v>1262</v>
      </c>
      <c r="C63" s="615"/>
      <c r="D63" s="616"/>
    </row>
    <row r="65" spans="1:11" x14ac:dyDescent="0.3">
      <c r="A65" s="500" t="s">
        <v>72</v>
      </c>
      <c r="B65" s="500"/>
    </row>
    <row r="66" spans="1:11" ht="47.4" customHeight="1" x14ac:dyDescent="0.3">
      <c r="B66" s="575" t="s">
        <v>1261</v>
      </c>
      <c r="C66" s="610"/>
      <c r="D66" s="611"/>
      <c r="E66" s="505" t="s">
        <v>1224</v>
      </c>
      <c r="F66" s="149"/>
      <c r="G66" s="149"/>
      <c r="H66" s="149"/>
    </row>
    <row r="67" spans="1:11" ht="47.4" customHeight="1" x14ac:dyDescent="0.3">
      <c r="B67" s="612"/>
      <c r="C67" s="571"/>
      <c r="D67" s="613"/>
      <c r="E67" s="502"/>
      <c r="F67" s="149"/>
      <c r="G67" s="149"/>
      <c r="H67" s="149"/>
    </row>
    <row r="68" spans="1:11" x14ac:dyDescent="0.3">
      <c r="E68" s="108"/>
    </row>
    <row r="69" spans="1:11" x14ac:dyDescent="0.3">
      <c r="A69" s="500" t="s">
        <v>94</v>
      </c>
      <c r="B69" s="617" t="s">
        <v>389</v>
      </c>
      <c r="C69" s="618"/>
      <c r="D69" s="619"/>
      <c r="E69" s="506" t="s">
        <v>368</v>
      </c>
    </row>
    <row r="70" spans="1:11" x14ac:dyDescent="0.3">
      <c r="E70" s="502" t="s">
        <v>1284</v>
      </c>
    </row>
    <row r="71" spans="1:11" x14ac:dyDescent="0.3">
      <c r="B71" s="306" t="s">
        <v>1429</v>
      </c>
      <c r="E71" s="502" t="s">
        <v>626</v>
      </c>
    </row>
    <row r="72" spans="1:11" x14ac:dyDescent="0.3">
      <c r="B72" s="503" t="s">
        <v>1430</v>
      </c>
      <c r="E72" s="501" t="s">
        <v>627</v>
      </c>
    </row>
    <row r="73" spans="1:11" x14ac:dyDescent="0.3">
      <c r="E73" s="501" t="s">
        <v>628</v>
      </c>
    </row>
    <row r="74" spans="1:11" x14ac:dyDescent="0.3">
      <c r="E74" s="108"/>
    </row>
    <row r="75" spans="1:11" ht="27.6" customHeight="1" x14ac:dyDescent="0.3">
      <c r="A75" s="504" t="s">
        <v>390</v>
      </c>
      <c r="B75" s="620" t="s">
        <v>1194</v>
      </c>
      <c r="C75" s="621"/>
      <c r="D75" s="622"/>
      <c r="E75" s="505" t="s">
        <v>377</v>
      </c>
      <c r="K75" s="8"/>
    </row>
    <row r="76" spans="1:11" x14ac:dyDescent="0.3">
      <c r="E76" s="502" t="s">
        <v>1284</v>
      </c>
    </row>
    <row r="77" spans="1:11" x14ac:dyDescent="0.3">
      <c r="E77" s="108"/>
      <c r="K77" s="8"/>
    </row>
    <row r="78" spans="1:11" x14ac:dyDescent="0.3">
      <c r="A78" s="500" t="s">
        <v>95</v>
      </c>
      <c r="B78" s="614" t="s">
        <v>391</v>
      </c>
      <c r="C78" s="615"/>
      <c r="D78" s="616"/>
      <c r="E78" s="506" t="s">
        <v>368</v>
      </c>
    </row>
    <row r="79" spans="1:11" x14ac:dyDescent="0.3">
      <c r="E79" s="502" t="s">
        <v>1284</v>
      </c>
      <c r="K79" s="8"/>
    </row>
    <row r="80" spans="1:11" x14ac:dyDescent="0.3">
      <c r="B80" s="488" t="s">
        <v>75</v>
      </c>
      <c r="E80" s="507" t="s">
        <v>1225</v>
      </c>
    </row>
    <row r="81" spans="1:11" x14ac:dyDescent="0.3">
      <c r="B81" s="489" t="s">
        <v>74</v>
      </c>
      <c r="E81" s="515" t="s">
        <v>1226</v>
      </c>
      <c r="K81" s="8"/>
    </row>
    <row r="82" spans="1:11" x14ac:dyDescent="0.3">
      <c r="B82" s="489" t="s">
        <v>76</v>
      </c>
      <c r="E82" s="108"/>
      <c r="K82" s="36"/>
    </row>
    <row r="83" spans="1:11" x14ac:dyDescent="0.3">
      <c r="B83" s="489" t="s">
        <v>80</v>
      </c>
      <c r="E83" s="108"/>
      <c r="K83" s="36"/>
    </row>
    <row r="84" spans="1:11" x14ac:dyDescent="0.3">
      <c r="B84" s="489" t="s">
        <v>79</v>
      </c>
      <c r="E84" s="108"/>
      <c r="K84" s="36"/>
    </row>
    <row r="85" spans="1:11" x14ac:dyDescent="0.3">
      <c r="B85" s="489" t="s">
        <v>77</v>
      </c>
      <c r="E85" s="108"/>
      <c r="K85" s="36"/>
    </row>
    <row r="86" spans="1:11" x14ac:dyDescent="0.3">
      <c r="B86" s="489" t="s">
        <v>81</v>
      </c>
      <c r="E86" s="108"/>
      <c r="K86" s="36"/>
    </row>
    <row r="87" spans="1:11" x14ac:dyDescent="0.3">
      <c r="B87" s="489" t="s">
        <v>82</v>
      </c>
      <c r="E87" s="108"/>
      <c r="K87" s="36"/>
    </row>
    <row r="88" spans="1:11" x14ac:dyDescent="0.3">
      <c r="B88" s="489" t="s">
        <v>83</v>
      </c>
      <c r="E88" s="108"/>
      <c r="K88" s="36"/>
    </row>
    <row r="89" spans="1:11" x14ac:dyDescent="0.3">
      <c r="B89" s="489" t="s">
        <v>625</v>
      </c>
      <c r="E89" s="108"/>
      <c r="K89" s="36"/>
    </row>
    <row r="90" spans="1:11" x14ac:dyDescent="0.3">
      <c r="B90" s="489" t="s">
        <v>589</v>
      </c>
      <c r="E90" s="108"/>
      <c r="K90" s="36"/>
    </row>
    <row r="91" spans="1:11" x14ac:dyDescent="0.3">
      <c r="B91" s="490" t="s">
        <v>78</v>
      </c>
      <c r="E91" s="108"/>
      <c r="K91" s="36"/>
    </row>
    <row r="92" spans="1:11" x14ac:dyDescent="0.3">
      <c r="E92" s="108"/>
      <c r="K92" s="36"/>
    </row>
    <row r="93" spans="1:11" x14ac:dyDescent="0.3">
      <c r="A93" s="500" t="s">
        <v>97</v>
      </c>
      <c r="B93" s="614" t="s">
        <v>392</v>
      </c>
      <c r="C93" s="615"/>
      <c r="D93" s="616"/>
      <c r="E93" s="506" t="s">
        <v>368</v>
      </c>
      <c r="K93" s="36"/>
    </row>
    <row r="94" spans="1:11" x14ac:dyDescent="0.3">
      <c r="E94" s="502" t="s">
        <v>1284</v>
      </c>
    </row>
    <row r="95" spans="1:11" x14ac:dyDescent="0.3">
      <c r="B95" s="488" t="s">
        <v>75</v>
      </c>
      <c r="E95" s="108"/>
      <c r="K95" s="8"/>
    </row>
    <row r="96" spans="1:11" x14ac:dyDescent="0.3">
      <c r="B96" s="489" t="s">
        <v>74</v>
      </c>
      <c r="E96" s="108"/>
    </row>
    <row r="97" spans="1:11" x14ac:dyDescent="0.3">
      <c r="B97" s="489" t="s">
        <v>76</v>
      </c>
      <c r="E97" s="108"/>
      <c r="K97" s="8"/>
    </row>
    <row r="98" spans="1:11" x14ac:dyDescent="0.3">
      <c r="B98" s="489" t="s">
        <v>80</v>
      </c>
      <c r="E98" s="108"/>
      <c r="K98" s="36"/>
    </row>
    <row r="99" spans="1:11" x14ac:dyDescent="0.3">
      <c r="B99" s="489" t="s">
        <v>79</v>
      </c>
      <c r="E99" s="108"/>
      <c r="K99" s="36"/>
    </row>
    <row r="100" spans="1:11" x14ac:dyDescent="0.3">
      <c r="B100" s="489" t="s">
        <v>77</v>
      </c>
      <c r="E100" s="108"/>
      <c r="K100" s="36"/>
    </row>
    <row r="101" spans="1:11" x14ac:dyDescent="0.3">
      <c r="B101" s="489" t="s">
        <v>81</v>
      </c>
      <c r="E101" s="108"/>
      <c r="K101" s="36"/>
    </row>
    <row r="102" spans="1:11" x14ac:dyDescent="0.3">
      <c r="B102" s="489" t="s">
        <v>82</v>
      </c>
      <c r="E102" s="108"/>
      <c r="K102" s="36"/>
    </row>
    <row r="103" spans="1:11" x14ac:dyDescent="0.3">
      <c r="B103" s="489" t="s">
        <v>83</v>
      </c>
      <c r="E103" s="108"/>
      <c r="K103" s="36"/>
    </row>
    <row r="104" spans="1:11" x14ac:dyDescent="0.3">
      <c r="B104" s="489" t="s">
        <v>625</v>
      </c>
      <c r="E104" s="108"/>
      <c r="K104" s="36"/>
    </row>
    <row r="105" spans="1:11" x14ac:dyDescent="0.3">
      <c r="B105" s="489" t="s">
        <v>589</v>
      </c>
      <c r="E105" s="108"/>
      <c r="K105" s="36"/>
    </row>
    <row r="106" spans="1:11" x14ac:dyDescent="0.3">
      <c r="B106" s="490" t="s">
        <v>78</v>
      </c>
      <c r="E106" s="108"/>
      <c r="K106" s="36"/>
    </row>
    <row r="107" spans="1:11" x14ac:dyDescent="0.3">
      <c r="E107" s="108"/>
      <c r="K107" s="36"/>
    </row>
    <row r="108" spans="1:11" x14ac:dyDescent="0.3">
      <c r="A108" s="500" t="s">
        <v>98</v>
      </c>
      <c r="B108" s="614" t="s">
        <v>558</v>
      </c>
      <c r="C108" s="615"/>
      <c r="D108" s="616"/>
      <c r="E108" s="506" t="s">
        <v>559</v>
      </c>
      <c r="K108" s="36"/>
    </row>
    <row r="109" spans="1:11" ht="15" thickBot="1" x14ac:dyDescent="0.35">
      <c r="E109" s="507"/>
      <c r="K109" s="36"/>
    </row>
    <row r="110" spans="1:11" x14ac:dyDescent="0.3">
      <c r="A110" s="512" t="s">
        <v>1263</v>
      </c>
      <c r="B110" s="213"/>
      <c r="C110" s="213"/>
      <c r="D110" s="213"/>
      <c r="E110" s="511"/>
      <c r="F110" s="213"/>
      <c r="G110" s="213"/>
      <c r="H110" s="213"/>
      <c r="I110" s="213"/>
      <c r="K110" s="36"/>
    </row>
    <row r="111" spans="1:11" x14ac:dyDescent="0.3">
      <c r="E111" s="507"/>
      <c r="K111" s="36"/>
    </row>
    <row r="112" spans="1:11" x14ac:dyDescent="0.3">
      <c r="A112" s="500" t="s">
        <v>99</v>
      </c>
      <c r="B112" s="614" t="s">
        <v>393</v>
      </c>
      <c r="C112" s="615"/>
      <c r="D112" s="616"/>
      <c r="E112" s="506" t="s">
        <v>377</v>
      </c>
    </row>
    <row r="113" spans="1:11" x14ac:dyDescent="0.3">
      <c r="E113" s="507"/>
    </row>
    <row r="114" spans="1:11" x14ac:dyDescent="0.3">
      <c r="E114" s="507"/>
    </row>
    <row r="115" spans="1:11" x14ac:dyDescent="0.3">
      <c r="A115" s="500" t="s">
        <v>100</v>
      </c>
      <c r="B115" s="614" t="s">
        <v>395</v>
      </c>
      <c r="C115" s="615"/>
      <c r="D115" s="616"/>
      <c r="E115" s="506" t="s">
        <v>377</v>
      </c>
    </row>
    <row r="116" spans="1:11" x14ac:dyDescent="0.3">
      <c r="E116" s="507"/>
    </row>
    <row r="117" spans="1:11" x14ac:dyDescent="0.3">
      <c r="E117" s="507"/>
      <c r="K117" s="8"/>
    </row>
    <row r="118" spans="1:11" x14ac:dyDescent="0.3">
      <c r="A118" s="500" t="s">
        <v>101</v>
      </c>
      <c r="B118" s="614" t="s">
        <v>85</v>
      </c>
      <c r="C118" s="615"/>
      <c r="D118" s="616"/>
      <c r="E118" s="506" t="s">
        <v>96</v>
      </c>
    </row>
    <row r="119" spans="1:11" x14ac:dyDescent="0.3">
      <c r="E119" s="507"/>
      <c r="K119" s="8"/>
    </row>
    <row r="120" spans="1:11" x14ac:dyDescent="0.3">
      <c r="B120" s="488" t="s">
        <v>87</v>
      </c>
      <c r="E120" s="507"/>
    </row>
    <row r="121" spans="1:11" x14ac:dyDescent="0.3">
      <c r="B121" s="489" t="s">
        <v>86</v>
      </c>
      <c r="E121" s="507"/>
      <c r="K121" s="8"/>
    </row>
    <row r="122" spans="1:11" x14ac:dyDescent="0.3">
      <c r="B122" s="490" t="s">
        <v>90</v>
      </c>
      <c r="E122" s="507"/>
    </row>
    <row r="123" spans="1:11" x14ac:dyDescent="0.3">
      <c r="E123" s="507"/>
      <c r="K123" s="8"/>
    </row>
    <row r="124" spans="1:11" x14ac:dyDescent="0.3">
      <c r="A124" s="500" t="s">
        <v>394</v>
      </c>
      <c r="B124" s="614" t="s">
        <v>1404</v>
      </c>
      <c r="C124" s="615"/>
      <c r="D124" s="616"/>
      <c r="E124" s="506" t="s">
        <v>377</v>
      </c>
      <c r="K124" s="8"/>
    </row>
    <row r="125" spans="1:11" x14ac:dyDescent="0.3">
      <c r="E125" s="507"/>
      <c r="K125" s="8"/>
    </row>
    <row r="126" spans="1:11" x14ac:dyDescent="0.3">
      <c r="E126" s="507"/>
    </row>
    <row r="127" spans="1:11" x14ac:dyDescent="0.3">
      <c r="A127" s="500" t="s">
        <v>560</v>
      </c>
      <c r="B127" s="614" t="s">
        <v>1405</v>
      </c>
      <c r="C127" s="615"/>
      <c r="D127" s="616"/>
      <c r="E127" s="506" t="s">
        <v>377</v>
      </c>
      <c r="K127" s="8"/>
    </row>
    <row r="129" spans="11:11" x14ac:dyDescent="0.3">
      <c r="K129" s="8"/>
    </row>
    <row r="131" spans="11:11" x14ac:dyDescent="0.3">
      <c r="K131" s="8"/>
    </row>
    <row r="133" spans="11:11" x14ac:dyDescent="0.3">
      <c r="K133" s="8"/>
    </row>
    <row r="134" spans="11:11" x14ac:dyDescent="0.3">
      <c r="K134" s="8"/>
    </row>
    <row r="135" spans="11:11" x14ac:dyDescent="0.3">
      <c r="K135" s="8"/>
    </row>
    <row r="136" spans="11:11" x14ac:dyDescent="0.3">
      <c r="K136" s="36"/>
    </row>
    <row r="137" spans="11:11" x14ac:dyDescent="0.3">
      <c r="K137" s="36"/>
    </row>
    <row r="138" spans="11:11" x14ac:dyDescent="0.3">
      <c r="K138" s="36"/>
    </row>
    <row r="140" spans="11:11" x14ac:dyDescent="0.3">
      <c r="K140" s="8"/>
    </row>
    <row r="142" spans="11:11" x14ac:dyDescent="0.3">
      <c r="K142" s="8"/>
    </row>
    <row r="147" spans="1:5" ht="18" customHeight="1" x14ac:dyDescent="0.3">
      <c r="A147" s="86"/>
    </row>
    <row r="148" spans="1:5" ht="18" customHeight="1" x14ac:dyDescent="0.3">
      <c r="A148" s="86"/>
    </row>
    <row r="149" spans="1:5" ht="18" customHeight="1" x14ac:dyDescent="0.3">
      <c r="A149" s="86"/>
      <c r="E149" s="85"/>
    </row>
    <row r="150" spans="1:5" ht="18" customHeight="1" x14ac:dyDescent="0.3">
      <c r="A150" s="86"/>
      <c r="E150" s="85"/>
    </row>
    <row r="151" spans="1:5" ht="18" customHeight="1" x14ac:dyDescent="0.3">
      <c r="A151" s="86"/>
      <c r="E151" s="85"/>
    </row>
    <row r="152" spans="1:5" ht="18" customHeight="1" x14ac:dyDescent="0.3">
      <c r="A152" s="86"/>
      <c r="E152" s="85"/>
    </row>
    <row r="153" spans="1:5" ht="18" customHeight="1" x14ac:dyDescent="0.3">
      <c r="A153" s="86"/>
      <c r="E153" s="85"/>
    </row>
    <row r="154" spans="1:5" ht="18" customHeight="1" x14ac:dyDescent="0.3">
      <c r="A154" s="86"/>
      <c r="B154" s="8"/>
      <c r="E154" s="85"/>
    </row>
    <row r="155" spans="1:5" ht="18" customHeight="1" x14ac:dyDescent="0.3">
      <c r="A155" s="86"/>
      <c r="E155" s="85"/>
    </row>
    <row r="156" spans="1:5" ht="18" customHeight="1" x14ac:dyDescent="0.3">
      <c r="A156" s="86"/>
      <c r="E156" s="87"/>
    </row>
    <row r="157" spans="1:5" ht="18" customHeight="1" x14ac:dyDescent="0.3">
      <c r="A157" s="86"/>
      <c r="B157" s="8"/>
      <c r="E157" s="87"/>
    </row>
    <row r="158" spans="1:5" ht="18" customHeight="1" x14ac:dyDescent="0.3">
      <c r="A158" s="86"/>
      <c r="E158" s="87"/>
    </row>
    <row r="159" spans="1:5" ht="18" customHeight="1" x14ac:dyDescent="0.3">
      <c r="A159" s="86"/>
    </row>
    <row r="160" spans="1:5" ht="18" customHeight="1" x14ac:dyDescent="0.3">
      <c r="A160" s="86"/>
    </row>
    <row r="161" spans="1:1" ht="19.2" customHeight="1" x14ac:dyDescent="0.3">
      <c r="A161" s="86"/>
    </row>
    <row r="162" spans="1:1" ht="19.2" customHeight="1" x14ac:dyDescent="0.3">
      <c r="A162" s="86"/>
    </row>
    <row r="163" spans="1:1" ht="19.2" customHeight="1" x14ac:dyDescent="0.3">
      <c r="A163" s="86"/>
    </row>
    <row r="164" spans="1:1" ht="19.2" customHeight="1" x14ac:dyDescent="0.3">
      <c r="A164" s="86"/>
    </row>
    <row r="165" spans="1:1" ht="19.2" customHeight="1" x14ac:dyDescent="0.3">
      <c r="A165" s="86"/>
    </row>
    <row r="166" spans="1:1" ht="19.2" customHeight="1" x14ac:dyDescent="0.3">
      <c r="A166" s="86"/>
    </row>
    <row r="167" spans="1:1" ht="19.2" customHeight="1" x14ac:dyDescent="0.3">
      <c r="A167" s="86"/>
    </row>
    <row r="168" spans="1:1" ht="19.2" customHeight="1" x14ac:dyDescent="0.3">
      <c r="A168" s="86"/>
    </row>
  </sheetData>
  <sheetProtection algorithmName="SHA-512" hashValue="RCJASNCvv7QjBOmcXYJ6UPjl/ZlfAbunwx0BDP1bRh9KkeB0ClwQxJ6X+ZiTwSJgjXaUYN8h7933/HYY66qusw==" saltValue="OIJVsEajCPKeyIqu4URbaw==" spinCount="100000" sheet="1" objects="1" scenarios="1"/>
  <mergeCells count="17">
    <mergeCell ref="B124:D124"/>
    <mergeCell ref="B127:D127"/>
    <mergeCell ref="B78:D78"/>
    <mergeCell ref="B93:D93"/>
    <mergeCell ref="B108:D108"/>
    <mergeCell ref="B115:D115"/>
    <mergeCell ref="B112:D112"/>
    <mergeCell ref="B66:D67"/>
    <mergeCell ref="B63:D63"/>
    <mergeCell ref="B69:D69"/>
    <mergeCell ref="B75:D75"/>
    <mergeCell ref="B118:D118"/>
    <mergeCell ref="B8:H10"/>
    <mergeCell ref="B12:H14"/>
    <mergeCell ref="B16:H17"/>
    <mergeCell ref="B19:H21"/>
    <mergeCell ref="B23:H25"/>
  </mergeCells>
  <hyperlinks>
    <hyperlink ref="A5" location="Inhalt!A1" display="&lt;= Start"/>
    <hyperlink ref="B33" r:id="rId1"/>
    <hyperlink ref="B36" r:id="rId2"/>
  </hyperlinks>
  <pageMargins left="0.25" right="0.25" top="0.75" bottom="0.75" header="0.3" footer="0.3"/>
  <pageSetup paperSize="9" orientation="landscape" horizontalDpi="4294967295" verticalDpi="4294967295"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5989"/>
  </sheetPr>
  <dimension ref="A1:AD2659"/>
  <sheetViews>
    <sheetView showGridLines="0" workbookViewId="0">
      <selection activeCell="F14" sqref="F14"/>
    </sheetView>
  </sheetViews>
  <sheetFormatPr baseColWidth="10" defaultColWidth="0" defaultRowHeight="14.4" x14ac:dyDescent="0.3"/>
  <cols>
    <col min="1" max="1" width="8.88671875" customWidth="1"/>
    <col min="2" max="2" width="17.88671875" customWidth="1"/>
    <col min="3" max="3" width="20.6640625" customWidth="1"/>
    <col min="4" max="12" width="15.88671875" customWidth="1"/>
    <col min="13" max="13" width="8.88671875" customWidth="1"/>
    <col min="14" max="19" width="8.88671875" hidden="1" customWidth="1"/>
    <col min="20" max="20" width="18.33203125" hidden="1" customWidth="1"/>
    <col min="21" max="21" width="21.109375" hidden="1" customWidth="1"/>
    <col min="22" max="25" width="8.88671875" hidden="1" customWidth="1"/>
    <col min="26" max="26" width="17.44140625" hidden="1" customWidth="1"/>
    <col min="27" max="30" width="0" hidden="1" customWidth="1"/>
    <col min="31" max="16384" width="8.88671875" hidden="1"/>
  </cols>
  <sheetData>
    <row r="1" spans="1:13" ht="12" customHeight="1" x14ac:dyDescent="0.3">
      <c r="A1" s="1"/>
      <c r="B1" s="1"/>
      <c r="C1" s="1"/>
      <c r="D1" s="1"/>
      <c r="E1" s="1"/>
      <c r="F1" s="1"/>
      <c r="G1" s="1"/>
      <c r="H1" s="1"/>
      <c r="I1" s="1"/>
      <c r="J1" s="1"/>
      <c r="K1" s="1"/>
      <c r="L1" s="1"/>
      <c r="M1" s="1"/>
    </row>
    <row r="2" spans="1:13" ht="12" customHeight="1" x14ac:dyDescent="0.3">
      <c r="A2" s="1"/>
      <c r="B2" s="1"/>
      <c r="C2" s="1"/>
      <c r="D2" s="1"/>
      <c r="E2" s="1"/>
      <c r="F2" s="1"/>
      <c r="G2" s="1"/>
      <c r="H2" s="1"/>
      <c r="I2" s="1"/>
      <c r="J2" s="1"/>
      <c r="K2" s="1"/>
      <c r="L2" s="1"/>
      <c r="M2" s="1"/>
    </row>
    <row r="3" spans="1:13" ht="32.4" customHeight="1" x14ac:dyDescent="0.55000000000000004">
      <c r="A3" s="1"/>
      <c r="B3" s="1"/>
      <c r="C3" s="2" t="s">
        <v>1265</v>
      </c>
      <c r="D3" s="1"/>
      <c r="E3" s="1"/>
      <c r="F3" s="2"/>
      <c r="G3" s="2"/>
      <c r="H3" s="1"/>
      <c r="I3" s="1"/>
      <c r="J3" s="1"/>
      <c r="K3" s="1"/>
      <c r="L3" s="2"/>
      <c r="M3" s="1"/>
    </row>
    <row r="4" spans="1:13" ht="18.45" customHeight="1" thickBot="1" x14ac:dyDescent="0.4">
      <c r="A4" s="29"/>
      <c r="B4" s="94"/>
      <c r="C4" s="347" t="str">
        <f>NameDerSchule</f>
        <v>Schule ABC</v>
      </c>
      <c r="D4" s="29"/>
      <c r="E4" s="29"/>
      <c r="F4" s="29"/>
      <c r="G4" s="29"/>
      <c r="H4" s="29"/>
      <c r="I4" s="29"/>
      <c r="J4" s="29"/>
      <c r="K4" s="29"/>
      <c r="L4" s="29"/>
      <c r="M4" s="29"/>
    </row>
    <row r="5" spans="1:13" ht="13.95" customHeight="1" thickTop="1" x14ac:dyDescent="0.3">
      <c r="A5" s="26" t="s">
        <v>63</v>
      </c>
    </row>
    <row r="6" spans="1:13" ht="16.2" customHeight="1" x14ac:dyDescent="0.3">
      <c r="B6" s="586" t="s">
        <v>578</v>
      </c>
      <c r="C6" s="587"/>
      <c r="D6" s="587"/>
      <c r="E6" s="587"/>
      <c r="F6" s="587"/>
      <c r="G6" s="587"/>
      <c r="H6" s="588"/>
    </row>
    <row r="7" spans="1:13" ht="16.2" customHeight="1" x14ac:dyDescent="0.3">
      <c r="B7" s="589"/>
      <c r="C7" s="590"/>
      <c r="D7" s="590"/>
      <c r="E7" s="590"/>
      <c r="F7" s="590"/>
      <c r="G7" s="590"/>
      <c r="H7" s="591"/>
    </row>
    <row r="8" spans="1:13" ht="16.2" customHeight="1" x14ac:dyDescent="0.3">
      <c r="B8" s="589"/>
      <c r="C8" s="590"/>
      <c r="D8" s="590"/>
      <c r="E8" s="590"/>
      <c r="F8" s="590"/>
      <c r="G8" s="590"/>
      <c r="H8" s="591"/>
    </row>
    <row r="9" spans="1:13" ht="16.2" customHeight="1" x14ac:dyDescent="0.3">
      <c r="B9" s="589"/>
      <c r="C9" s="590"/>
      <c r="D9" s="590"/>
      <c r="E9" s="590"/>
      <c r="F9" s="590"/>
      <c r="G9" s="590"/>
      <c r="H9" s="591"/>
    </row>
    <row r="10" spans="1:13" ht="16.2" customHeight="1" x14ac:dyDescent="0.3">
      <c r="B10" s="592"/>
      <c r="C10" s="593"/>
      <c r="D10" s="593"/>
      <c r="E10" s="593"/>
      <c r="F10" s="593"/>
      <c r="G10" s="593"/>
      <c r="H10" s="594"/>
    </row>
    <row r="11" spans="1:13" ht="7.2" customHeight="1" x14ac:dyDescent="0.3"/>
    <row r="12" spans="1:13" ht="16.2" customHeight="1" thickBot="1" x14ac:dyDescent="0.35">
      <c r="B12" s="38" t="s">
        <v>1248</v>
      </c>
    </row>
    <row r="13" spans="1:13" ht="60.6" customHeight="1" x14ac:dyDescent="0.3">
      <c r="A13" s="118" t="s">
        <v>413</v>
      </c>
      <c r="B13" s="443" t="s">
        <v>396</v>
      </c>
      <c r="C13" s="443" t="s">
        <v>451</v>
      </c>
      <c r="D13" s="443" t="s">
        <v>452</v>
      </c>
      <c r="E13" s="443" t="s">
        <v>391</v>
      </c>
      <c r="F13" s="443" t="s">
        <v>392</v>
      </c>
      <c r="G13" s="443" t="s">
        <v>555</v>
      </c>
      <c r="H13" s="443" t="s">
        <v>393</v>
      </c>
      <c r="I13" s="443" t="s">
        <v>395</v>
      </c>
      <c r="J13" s="443" t="s">
        <v>85</v>
      </c>
      <c r="K13" s="443" t="s">
        <v>84</v>
      </c>
      <c r="L13" s="443" t="s">
        <v>453</v>
      </c>
    </row>
    <row r="14" spans="1:13" ht="13.8" customHeight="1" x14ac:dyDescent="0.3">
      <c r="A14" s="442">
        <f>IF(D14="",0,SUBSTITUTE(LOWER(D14),"km","")+0)</f>
        <v>10</v>
      </c>
      <c r="B14" s="444">
        <v>44581.409895833334</v>
      </c>
      <c r="C14" s="445" t="s">
        <v>1429</v>
      </c>
      <c r="D14" s="446">
        <v>10</v>
      </c>
      <c r="E14" s="447" t="s">
        <v>74</v>
      </c>
      <c r="F14" s="447" t="s">
        <v>74</v>
      </c>
      <c r="G14" s="445" t="s">
        <v>1393</v>
      </c>
      <c r="H14" s="446">
        <v>3.5</v>
      </c>
      <c r="I14" s="445"/>
      <c r="J14" s="445" t="s">
        <v>87</v>
      </c>
      <c r="K14" s="448"/>
      <c r="L14" s="446"/>
      <c r="M14" s="200"/>
    </row>
    <row r="15" spans="1:13" ht="13.8" customHeight="1" x14ac:dyDescent="0.3">
      <c r="A15" s="442">
        <f t="shared" ref="A15:A78" si="0">IF(D15="",0,SUBSTITUTE(LOWER(D15),"km","")+0)</f>
        <v>3</v>
      </c>
      <c r="B15" s="444">
        <v>44581.409918981481</v>
      </c>
      <c r="C15" s="445" t="s">
        <v>1429</v>
      </c>
      <c r="D15" s="446">
        <v>3</v>
      </c>
      <c r="E15" s="447" t="s">
        <v>74</v>
      </c>
      <c r="F15" s="447" t="s">
        <v>74</v>
      </c>
      <c r="G15" s="445" t="s">
        <v>1393</v>
      </c>
      <c r="H15" s="446">
        <v>6</v>
      </c>
      <c r="I15" s="445"/>
      <c r="J15" s="445" t="s">
        <v>87</v>
      </c>
      <c r="K15" s="445"/>
      <c r="L15" s="446"/>
      <c r="M15" s="200"/>
    </row>
    <row r="16" spans="1:13" ht="13.8" customHeight="1" x14ac:dyDescent="0.3">
      <c r="A16" s="442">
        <f t="shared" si="0"/>
        <v>12</v>
      </c>
      <c r="B16" s="444">
        <v>44581.410127314812</v>
      </c>
      <c r="C16" s="445" t="s">
        <v>1429</v>
      </c>
      <c r="D16" s="446">
        <v>12</v>
      </c>
      <c r="E16" s="447" t="s">
        <v>76</v>
      </c>
      <c r="F16" s="447" t="s">
        <v>76</v>
      </c>
      <c r="G16" s="445" t="s">
        <v>1393</v>
      </c>
      <c r="H16" s="446">
        <v>25</v>
      </c>
      <c r="I16" s="445"/>
      <c r="J16" s="445" t="s">
        <v>86</v>
      </c>
      <c r="K16" s="445"/>
      <c r="L16" s="446"/>
      <c r="M16" s="200"/>
    </row>
    <row r="17" spans="1:13" ht="13.8" customHeight="1" x14ac:dyDescent="0.3">
      <c r="A17" s="442">
        <f t="shared" si="0"/>
        <v>2.5</v>
      </c>
      <c r="B17" s="444">
        <v>44581.410196759258</v>
      </c>
      <c r="C17" s="445" t="s">
        <v>1429</v>
      </c>
      <c r="D17" s="446">
        <v>2.5</v>
      </c>
      <c r="E17" s="447" t="s">
        <v>74</v>
      </c>
      <c r="F17" s="447" t="s">
        <v>74</v>
      </c>
      <c r="G17" s="445" t="s">
        <v>1393</v>
      </c>
      <c r="H17" s="446">
        <v>8</v>
      </c>
      <c r="I17" s="445"/>
      <c r="J17" s="445" t="s">
        <v>86</v>
      </c>
      <c r="K17" s="445"/>
      <c r="L17" s="446"/>
      <c r="M17" s="200"/>
    </row>
    <row r="18" spans="1:13" ht="13.8" customHeight="1" x14ac:dyDescent="0.3">
      <c r="A18" s="442">
        <f t="shared" si="0"/>
        <v>10</v>
      </c>
      <c r="B18" s="444">
        <v>44581.410231481481</v>
      </c>
      <c r="C18" s="445" t="s">
        <v>1429</v>
      </c>
      <c r="D18" s="446">
        <v>10</v>
      </c>
      <c r="E18" s="447" t="s">
        <v>74</v>
      </c>
      <c r="F18" s="447" t="s">
        <v>74</v>
      </c>
      <c r="G18" s="445" t="s">
        <v>1393</v>
      </c>
      <c r="H18" s="446">
        <v>4.5</v>
      </c>
      <c r="I18" s="445"/>
      <c r="J18" s="445" t="s">
        <v>86</v>
      </c>
      <c r="K18" s="445"/>
      <c r="L18" s="446"/>
      <c r="M18" s="200"/>
    </row>
    <row r="19" spans="1:13" ht="13.8" customHeight="1" x14ac:dyDescent="0.3">
      <c r="A19" s="442">
        <f t="shared" si="0"/>
        <v>0.5</v>
      </c>
      <c r="B19" s="444">
        <v>44581.41034722222</v>
      </c>
      <c r="C19" s="445" t="s">
        <v>1429</v>
      </c>
      <c r="D19" s="446">
        <v>0.5</v>
      </c>
      <c r="E19" s="447" t="s">
        <v>74</v>
      </c>
      <c r="F19" s="447" t="s">
        <v>74</v>
      </c>
      <c r="G19" s="445" t="s">
        <v>1393</v>
      </c>
      <c r="H19" s="446">
        <v>3</v>
      </c>
      <c r="I19" s="445"/>
      <c r="J19" s="445" t="s">
        <v>87</v>
      </c>
      <c r="K19" s="445"/>
      <c r="L19" s="446"/>
      <c r="M19" s="200"/>
    </row>
    <row r="20" spans="1:13" ht="13.8" customHeight="1" x14ac:dyDescent="0.3">
      <c r="A20" s="442">
        <f t="shared" si="0"/>
        <v>6</v>
      </c>
      <c r="B20" s="444">
        <v>44581.410578703704</v>
      </c>
      <c r="C20" s="445" t="s">
        <v>1429</v>
      </c>
      <c r="D20" s="446">
        <v>6</v>
      </c>
      <c r="E20" s="447" t="s">
        <v>74</v>
      </c>
      <c r="F20" s="447" t="s">
        <v>80</v>
      </c>
      <c r="G20" s="445" t="s">
        <v>1393</v>
      </c>
      <c r="H20" s="446">
        <v>25</v>
      </c>
      <c r="I20" s="445"/>
      <c r="J20" s="445" t="s">
        <v>86</v>
      </c>
      <c r="K20" s="445"/>
      <c r="L20" s="446"/>
      <c r="M20" s="200"/>
    </row>
    <row r="21" spans="1:13" ht="13.8" customHeight="1" x14ac:dyDescent="0.3">
      <c r="A21" s="442">
        <f t="shared" si="0"/>
        <v>15</v>
      </c>
      <c r="B21" s="444">
        <v>44581.410671296297</v>
      </c>
      <c r="C21" s="445" t="s">
        <v>1429</v>
      </c>
      <c r="D21" s="446">
        <v>15</v>
      </c>
      <c r="E21" s="447" t="s">
        <v>589</v>
      </c>
      <c r="F21" s="447" t="s">
        <v>589</v>
      </c>
      <c r="G21" s="445" t="s">
        <v>1393</v>
      </c>
      <c r="H21" s="446">
        <v>15</v>
      </c>
      <c r="I21" s="445"/>
      <c r="J21" s="445" t="s">
        <v>87</v>
      </c>
      <c r="K21" s="446"/>
      <c r="L21" s="446"/>
      <c r="M21" s="200"/>
    </row>
    <row r="22" spans="1:13" ht="13.8" customHeight="1" x14ac:dyDescent="0.3">
      <c r="A22" s="442">
        <f t="shared" si="0"/>
        <v>15.4</v>
      </c>
      <c r="B22" s="444">
        <v>44581.41097222222</v>
      </c>
      <c r="C22" s="445" t="s">
        <v>1429</v>
      </c>
      <c r="D22" s="446">
        <v>15.4</v>
      </c>
      <c r="E22" s="447" t="s">
        <v>80</v>
      </c>
      <c r="F22" s="447" t="s">
        <v>80</v>
      </c>
      <c r="G22" s="445" t="s">
        <v>1393</v>
      </c>
      <c r="H22" s="446">
        <v>50</v>
      </c>
      <c r="I22" s="445"/>
      <c r="J22" s="445" t="s">
        <v>86</v>
      </c>
      <c r="K22" s="445"/>
      <c r="L22" s="446"/>
      <c r="M22" s="200"/>
    </row>
    <row r="23" spans="1:13" ht="13.8" customHeight="1" x14ac:dyDescent="0.3">
      <c r="A23" s="442">
        <f t="shared" si="0"/>
        <v>7</v>
      </c>
      <c r="B23" s="444">
        <v>44581.41133101852</v>
      </c>
      <c r="C23" s="445" t="s">
        <v>1430</v>
      </c>
      <c r="D23" s="446">
        <v>7</v>
      </c>
      <c r="E23" s="447" t="s">
        <v>76</v>
      </c>
      <c r="F23" s="447" t="s">
        <v>76</v>
      </c>
      <c r="G23" s="445" t="s">
        <v>1393</v>
      </c>
      <c r="H23" s="446">
        <v>30</v>
      </c>
      <c r="I23" s="445"/>
      <c r="J23" s="445" t="s">
        <v>86</v>
      </c>
      <c r="K23" s="445"/>
      <c r="L23" s="446"/>
      <c r="M23" s="200"/>
    </row>
    <row r="24" spans="1:13" ht="13.8" customHeight="1" x14ac:dyDescent="0.3">
      <c r="A24" s="442">
        <f t="shared" si="0"/>
        <v>7</v>
      </c>
      <c r="B24" s="444">
        <v>44581.411423611113</v>
      </c>
      <c r="C24" s="445" t="s">
        <v>1430</v>
      </c>
      <c r="D24" s="446" t="s">
        <v>921</v>
      </c>
      <c r="E24" s="447" t="s">
        <v>80</v>
      </c>
      <c r="F24" s="447" t="s">
        <v>82</v>
      </c>
      <c r="G24" s="445" t="s">
        <v>1393</v>
      </c>
      <c r="H24" s="446">
        <v>30</v>
      </c>
      <c r="I24" s="445"/>
      <c r="J24" s="445" t="s">
        <v>86</v>
      </c>
      <c r="K24" s="445"/>
      <c r="L24" s="446"/>
      <c r="M24" s="200"/>
    </row>
    <row r="25" spans="1:13" ht="13.8" customHeight="1" x14ac:dyDescent="0.3">
      <c r="A25" s="442">
        <f t="shared" si="0"/>
        <v>6.5</v>
      </c>
      <c r="B25" s="444">
        <v>44581.411597222221</v>
      </c>
      <c r="C25" s="445" t="s">
        <v>1430</v>
      </c>
      <c r="D25" s="446">
        <v>6.5</v>
      </c>
      <c r="E25" s="447" t="s">
        <v>74</v>
      </c>
      <c r="F25" s="447" t="s">
        <v>77</v>
      </c>
      <c r="G25" s="445" t="s">
        <v>1393</v>
      </c>
      <c r="H25" s="446">
        <v>25</v>
      </c>
      <c r="I25" s="445"/>
      <c r="J25" s="445" t="s">
        <v>87</v>
      </c>
      <c r="K25" s="448"/>
      <c r="L25" s="446"/>
      <c r="M25" s="200"/>
    </row>
    <row r="26" spans="1:13" ht="13.8" customHeight="1" x14ac:dyDescent="0.3">
      <c r="A26" s="442">
        <f t="shared" si="0"/>
        <v>10</v>
      </c>
      <c r="B26" s="444">
        <v>44581.412291666667</v>
      </c>
      <c r="C26" s="445" t="s">
        <v>1430</v>
      </c>
      <c r="D26" s="446">
        <v>10</v>
      </c>
      <c r="E26" s="447" t="s">
        <v>74</v>
      </c>
      <c r="F26" s="447" t="s">
        <v>74</v>
      </c>
      <c r="G26" s="445" t="s">
        <v>1393</v>
      </c>
      <c r="H26" s="446">
        <v>20</v>
      </c>
      <c r="I26" s="445"/>
      <c r="J26" s="445" t="s">
        <v>87</v>
      </c>
      <c r="K26" s="445"/>
      <c r="L26" s="446"/>
      <c r="M26" s="200"/>
    </row>
    <row r="27" spans="1:13" ht="13.8" customHeight="1" x14ac:dyDescent="0.3">
      <c r="A27" s="442">
        <f t="shared" si="0"/>
        <v>0.5</v>
      </c>
      <c r="B27" s="444">
        <v>44581.412361111114</v>
      </c>
      <c r="C27" s="445" t="s">
        <v>1430</v>
      </c>
      <c r="D27" s="446">
        <v>0.5</v>
      </c>
      <c r="E27" s="447" t="s">
        <v>75</v>
      </c>
      <c r="F27" s="447" t="s">
        <v>75</v>
      </c>
      <c r="G27" s="445" t="s">
        <v>1393</v>
      </c>
      <c r="H27" s="446">
        <v>5</v>
      </c>
      <c r="I27" s="445"/>
      <c r="J27" s="445" t="s">
        <v>87</v>
      </c>
      <c r="K27" s="445"/>
      <c r="L27" s="446"/>
      <c r="M27" s="200"/>
    </row>
    <row r="28" spans="1:13" ht="13.8" customHeight="1" x14ac:dyDescent="0.3">
      <c r="A28" s="442">
        <f t="shared" si="0"/>
        <v>40</v>
      </c>
      <c r="B28" s="444">
        <v>44581.414398148147</v>
      </c>
      <c r="C28" s="445" t="s">
        <v>1430</v>
      </c>
      <c r="D28" s="446">
        <v>40</v>
      </c>
      <c r="E28" s="447" t="s">
        <v>80</v>
      </c>
      <c r="F28" s="447" t="s">
        <v>80</v>
      </c>
      <c r="G28" s="445" t="s">
        <v>1393</v>
      </c>
      <c r="H28" s="446">
        <v>90</v>
      </c>
      <c r="I28" s="445"/>
      <c r="J28" s="445" t="s">
        <v>87</v>
      </c>
      <c r="K28" s="445"/>
      <c r="L28" s="445"/>
      <c r="M28" s="200"/>
    </row>
    <row r="29" spans="1:13" ht="13.8" customHeight="1" x14ac:dyDescent="0.3">
      <c r="A29" s="442">
        <f t="shared" si="0"/>
        <v>0</v>
      </c>
      <c r="B29" s="444"/>
      <c r="C29" s="445"/>
      <c r="D29" s="446"/>
      <c r="E29" s="447"/>
      <c r="F29" s="447"/>
      <c r="G29" s="445"/>
      <c r="H29" s="446"/>
      <c r="I29" s="445"/>
      <c r="J29" s="445"/>
      <c r="K29" s="446"/>
      <c r="L29" s="446"/>
      <c r="M29" s="200"/>
    </row>
    <row r="30" spans="1:13" ht="13.8" customHeight="1" x14ac:dyDescent="0.3">
      <c r="A30" s="442">
        <f t="shared" si="0"/>
        <v>0</v>
      </c>
      <c r="B30" s="444"/>
      <c r="C30" s="445"/>
      <c r="D30" s="446"/>
      <c r="E30" s="447"/>
      <c r="F30" s="447"/>
      <c r="G30" s="445"/>
      <c r="H30" s="446"/>
      <c r="I30" s="445"/>
      <c r="J30" s="445"/>
      <c r="K30" s="446"/>
      <c r="L30" s="446"/>
      <c r="M30" s="200"/>
    </row>
    <row r="31" spans="1:13" ht="13.8" customHeight="1" x14ac:dyDescent="0.3">
      <c r="A31" s="442">
        <f t="shared" si="0"/>
        <v>0</v>
      </c>
      <c r="B31" s="444"/>
      <c r="C31" s="445"/>
      <c r="D31" s="446"/>
      <c r="E31" s="447"/>
      <c r="F31" s="447"/>
      <c r="G31" s="449"/>
      <c r="H31" s="446"/>
      <c r="I31" s="445"/>
      <c r="J31" s="445"/>
      <c r="K31" s="446"/>
      <c r="L31" s="446"/>
      <c r="M31" s="200"/>
    </row>
    <row r="32" spans="1:13" ht="13.8" customHeight="1" x14ac:dyDescent="0.3">
      <c r="A32" s="442">
        <f t="shared" si="0"/>
        <v>0</v>
      </c>
      <c r="B32" s="444"/>
      <c r="C32" s="445"/>
      <c r="D32" s="446"/>
      <c r="E32" s="447"/>
      <c r="F32" s="447"/>
      <c r="G32" s="445"/>
      <c r="H32" s="446"/>
      <c r="I32" s="445"/>
      <c r="J32" s="445"/>
      <c r="K32" s="445"/>
      <c r="L32" s="450"/>
      <c r="M32" s="200"/>
    </row>
    <row r="33" spans="1:13" ht="13.8" customHeight="1" x14ac:dyDescent="0.3">
      <c r="A33" s="442">
        <f t="shared" si="0"/>
        <v>0</v>
      </c>
      <c r="B33" s="444"/>
      <c r="C33" s="445"/>
      <c r="D33" s="446"/>
      <c r="E33" s="447"/>
      <c r="F33" s="447"/>
      <c r="G33" s="445"/>
      <c r="H33" s="446"/>
      <c r="I33" s="445"/>
      <c r="J33" s="445"/>
      <c r="K33" s="445"/>
      <c r="L33" s="445"/>
      <c r="M33" s="200"/>
    </row>
    <row r="34" spans="1:13" ht="13.8" customHeight="1" x14ac:dyDescent="0.3">
      <c r="A34" s="442">
        <f t="shared" si="0"/>
        <v>0</v>
      </c>
      <c r="B34" s="444"/>
      <c r="C34" s="445"/>
      <c r="D34" s="446"/>
      <c r="E34" s="447"/>
      <c r="F34" s="447"/>
      <c r="G34" s="445"/>
      <c r="H34" s="446"/>
      <c r="I34" s="445"/>
      <c r="J34" s="445"/>
      <c r="K34" s="445"/>
      <c r="L34" s="445"/>
      <c r="M34" s="200"/>
    </row>
    <row r="35" spans="1:13" ht="13.8" customHeight="1" x14ac:dyDescent="0.3">
      <c r="A35" s="442">
        <f t="shared" si="0"/>
        <v>0</v>
      </c>
      <c r="B35" s="444"/>
      <c r="C35" s="445"/>
      <c r="D35" s="446"/>
      <c r="E35" s="447"/>
      <c r="F35" s="447"/>
      <c r="G35" s="445"/>
      <c r="H35" s="446"/>
      <c r="I35" s="445"/>
      <c r="J35" s="445"/>
      <c r="K35" s="446"/>
      <c r="L35" s="446"/>
      <c r="M35" s="200"/>
    </row>
    <row r="36" spans="1:13" ht="13.8" customHeight="1" x14ac:dyDescent="0.3">
      <c r="A36" s="442">
        <f t="shared" si="0"/>
        <v>0</v>
      </c>
      <c r="B36" s="444"/>
      <c r="C36" s="445"/>
      <c r="D36" s="446"/>
      <c r="E36" s="447"/>
      <c r="F36" s="447"/>
      <c r="G36" s="445"/>
      <c r="H36" s="445"/>
      <c r="I36" s="445"/>
      <c r="J36" s="445"/>
      <c r="K36" s="445"/>
      <c r="L36" s="445"/>
      <c r="M36" s="200"/>
    </row>
    <row r="37" spans="1:13" ht="13.8" customHeight="1" x14ac:dyDescent="0.3">
      <c r="A37" s="442">
        <f t="shared" si="0"/>
        <v>0</v>
      </c>
      <c r="B37" s="444"/>
      <c r="C37" s="445"/>
      <c r="D37" s="446"/>
      <c r="E37" s="447"/>
      <c r="F37" s="447"/>
      <c r="G37" s="445"/>
      <c r="H37" s="446"/>
      <c r="I37" s="445"/>
      <c r="J37" s="445"/>
      <c r="K37" s="446"/>
      <c r="L37" s="446"/>
      <c r="M37" s="200"/>
    </row>
    <row r="38" spans="1:13" ht="13.8" customHeight="1" x14ac:dyDescent="0.3">
      <c r="A38" s="442">
        <f t="shared" si="0"/>
        <v>0</v>
      </c>
      <c r="B38" s="444"/>
      <c r="C38" s="445"/>
      <c r="D38" s="446"/>
      <c r="E38" s="447"/>
      <c r="F38" s="447"/>
      <c r="G38" s="449"/>
      <c r="H38" s="446"/>
      <c r="I38" s="445"/>
      <c r="J38" s="445"/>
      <c r="K38" s="446"/>
      <c r="L38" s="446"/>
      <c r="M38" s="200"/>
    </row>
    <row r="39" spans="1:13" ht="13.8" customHeight="1" x14ac:dyDescent="0.3">
      <c r="A39" s="442">
        <f t="shared" si="0"/>
        <v>0</v>
      </c>
      <c r="B39" s="444"/>
      <c r="C39" s="445"/>
      <c r="D39" s="446"/>
      <c r="E39" s="447"/>
      <c r="F39" s="447"/>
      <c r="G39" s="445"/>
      <c r="H39" s="446"/>
      <c r="I39" s="445"/>
      <c r="J39" s="445"/>
      <c r="K39" s="445"/>
      <c r="L39" s="445"/>
      <c r="M39" s="200"/>
    </row>
    <row r="40" spans="1:13" ht="13.8" customHeight="1" x14ac:dyDescent="0.3">
      <c r="A40" s="442">
        <f t="shared" si="0"/>
        <v>0</v>
      </c>
      <c r="B40" s="444"/>
      <c r="C40" s="445"/>
      <c r="D40" s="446"/>
      <c r="E40" s="447"/>
      <c r="F40" s="447"/>
      <c r="G40" s="445"/>
      <c r="H40" s="446"/>
      <c r="I40" s="445"/>
      <c r="J40" s="445"/>
      <c r="K40" s="446"/>
      <c r="L40" s="446"/>
      <c r="M40" s="200"/>
    </row>
    <row r="41" spans="1:13" ht="13.8" customHeight="1" x14ac:dyDescent="0.3">
      <c r="A41" s="442">
        <f t="shared" si="0"/>
        <v>0</v>
      </c>
      <c r="B41" s="444"/>
      <c r="C41" s="445"/>
      <c r="D41" s="446"/>
      <c r="E41" s="447"/>
      <c r="F41" s="447"/>
      <c r="G41" s="449"/>
      <c r="H41" s="446"/>
      <c r="I41" s="445"/>
      <c r="J41" s="445"/>
      <c r="K41" s="446"/>
      <c r="L41" s="446"/>
      <c r="M41" s="200"/>
    </row>
    <row r="42" spans="1:13" ht="13.8" customHeight="1" x14ac:dyDescent="0.3">
      <c r="A42" s="442">
        <f t="shared" si="0"/>
        <v>0</v>
      </c>
      <c r="B42" s="444"/>
      <c r="C42" s="445"/>
      <c r="D42" s="446"/>
      <c r="E42" s="447"/>
      <c r="F42" s="447"/>
      <c r="G42" s="445"/>
      <c r="H42" s="446"/>
      <c r="I42" s="445"/>
      <c r="J42" s="445"/>
      <c r="K42" s="446"/>
      <c r="L42" s="446"/>
      <c r="M42" s="200"/>
    </row>
    <row r="43" spans="1:13" ht="13.8" customHeight="1" x14ac:dyDescent="0.3">
      <c r="A43" s="442">
        <f t="shared" si="0"/>
        <v>0</v>
      </c>
      <c r="B43" s="444"/>
      <c r="C43" s="445"/>
      <c r="D43" s="446"/>
      <c r="E43" s="447"/>
      <c r="F43" s="447"/>
      <c r="G43" s="445"/>
      <c r="H43" s="445"/>
      <c r="I43" s="445"/>
      <c r="J43" s="445"/>
      <c r="K43" s="445"/>
      <c r="L43" s="446"/>
      <c r="M43" s="200"/>
    </row>
    <row r="44" spans="1:13" ht="13.8" customHeight="1" x14ac:dyDescent="0.3">
      <c r="A44" s="442">
        <f t="shared" si="0"/>
        <v>0</v>
      </c>
      <c r="B44" s="444"/>
      <c r="C44" s="445"/>
      <c r="D44" s="446"/>
      <c r="E44" s="447"/>
      <c r="F44" s="447"/>
      <c r="G44" s="449"/>
      <c r="H44" s="446"/>
      <c r="I44" s="445"/>
      <c r="J44" s="445"/>
      <c r="K44" s="445"/>
      <c r="L44" s="446"/>
      <c r="M44" s="200"/>
    </row>
    <row r="45" spans="1:13" ht="13.8" customHeight="1" x14ac:dyDescent="0.3">
      <c r="A45" s="442">
        <f t="shared" si="0"/>
        <v>0</v>
      </c>
      <c r="B45" s="444"/>
      <c r="C45" s="445"/>
      <c r="D45" s="446"/>
      <c r="E45" s="447"/>
      <c r="F45" s="447"/>
      <c r="G45" s="445"/>
      <c r="H45" s="446"/>
      <c r="I45" s="445"/>
      <c r="J45" s="445"/>
      <c r="K45" s="445"/>
      <c r="L45" s="446"/>
      <c r="M45" s="200"/>
    </row>
    <row r="46" spans="1:13" ht="13.8" customHeight="1" x14ac:dyDescent="0.3">
      <c r="A46" s="442">
        <f t="shared" si="0"/>
        <v>0</v>
      </c>
      <c r="B46" s="444"/>
      <c r="C46" s="445"/>
      <c r="D46" s="446"/>
      <c r="E46" s="447"/>
      <c r="F46" s="447"/>
      <c r="G46" s="445"/>
      <c r="H46" s="446"/>
      <c r="I46" s="445"/>
      <c r="J46" s="445"/>
      <c r="K46" s="446"/>
      <c r="L46" s="446"/>
      <c r="M46" s="200"/>
    </row>
    <row r="47" spans="1:13" ht="13.8" customHeight="1" x14ac:dyDescent="0.3">
      <c r="A47" s="442">
        <f t="shared" si="0"/>
        <v>0</v>
      </c>
      <c r="B47" s="444"/>
      <c r="C47" s="445"/>
      <c r="D47" s="446"/>
      <c r="E47" s="447"/>
      <c r="F47" s="447"/>
      <c r="G47" s="445"/>
      <c r="H47" s="446"/>
      <c r="I47" s="445"/>
      <c r="J47" s="445"/>
      <c r="K47" s="446"/>
      <c r="L47" s="446"/>
      <c r="M47" s="200"/>
    </row>
    <row r="48" spans="1:13" ht="13.8" customHeight="1" x14ac:dyDescent="0.3">
      <c r="A48" s="442">
        <f t="shared" si="0"/>
        <v>0</v>
      </c>
      <c r="B48" s="444"/>
      <c r="C48" s="445"/>
      <c r="D48" s="446"/>
      <c r="E48" s="447"/>
      <c r="F48" s="447"/>
      <c r="G48" s="445"/>
      <c r="H48" s="446"/>
      <c r="I48" s="445"/>
      <c r="J48" s="445"/>
      <c r="K48" s="446"/>
      <c r="L48" s="446"/>
      <c r="M48" s="200"/>
    </row>
    <row r="49" spans="1:13" ht="13.8" customHeight="1" x14ac:dyDescent="0.3">
      <c r="A49" s="442">
        <f t="shared" si="0"/>
        <v>0</v>
      </c>
      <c r="B49" s="444"/>
      <c r="C49" s="445"/>
      <c r="D49" s="446"/>
      <c r="E49" s="447"/>
      <c r="F49" s="447"/>
      <c r="G49" s="445"/>
      <c r="H49" s="446"/>
      <c r="I49" s="445"/>
      <c r="J49" s="445"/>
      <c r="K49" s="445"/>
      <c r="L49" s="446"/>
      <c r="M49" s="200"/>
    </row>
    <row r="50" spans="1:13" ht="13.8" customHeight="1" x14ac:dyDescent="0.3">
      <c r="A50" s="442">
        <f t="shared" si="0"/>
        <v>0</v>
      </c>
      <c r="B50" s="444"/>
      <c r="C50" s="445"/>
      <c r="D50" s="446"/>
      <c r="E50" s="447"/>
      <c r="F50" s="447"/>
      <c r="G50" s="445"/>
      <c r="H50" s="446"/>
      <c r="I50" s="445"/>
      <c r="J50" s="445"/>
      <c r="K50" s="446"/>
      <c r="L50" s="446"/>
      <c r="M50" s="200"/>
    </row>
    <row r="51" spans="1:13" ht="13.8" customHeight="1" x14ac:dyDescent="0.3">
      <c r="A51" s="442">
        <f t="shared" si="0"/>
        <v>0</v>
      </c>
      <c r="B51" s="444"/>
      <c r="C51" s="445"/>
      <c r="D51" s="446"/>
      <c r="E51" s="447"/>
      <c r="F51" s="447"/>
      <c r="G51" s="445"/>
      <c r="H51" s="446"/>
      <c r="I51" s="445"/>
      <c r="J51" s="445"/>
      <c r="K51" s="445"/>
      <c r="L51" s="449"/>
      <c r="M51" s="200"/>
    </row>
    <row r="52" spans="1:13" ht="13.8" customHeight="1" x14ac:dyDescent="0.3">
      <c r="A52" s="442">
        <f t="shared" si="0"/>
        <v>0</v>
      </c>
      <c r="B52" s="444"/>
      <c r="C52" s="445"/>
      <c r="D52" s="446"/>
      <c r="E52" s="447"/>
      <c r="F52" s="447"/>
      <c r="G52" s="445"/>
      <c r="H52" s="446"/>
      <c r="I52" s="445"/>
      <c r="J52" s="445"/>
      <c r="K52" s="445"/>
      <c r="L52" s="445"/>
      <c r="M52" s="200"/>
    </row>
    <row r="53" spans="1:13" ht="13.8" customHeight="1" x14ac:dyDescent="0.3">
      <c r="A53" s="442">
        <f t="shared" si="0"/>
        <v>0</v>
      </c>
      <c r="B53" s="444"/>
      <c r="C53" s="445"/>
      <c r="D53" s="446"/>
      <c r="E53" s="447"/>
      <c r="F53" s="447"/>
      <c r="G53" s="445"/>
      <c r="H53" s="446"/>
      <c r="I53" s="445"/>
      <c r="J53" s="445"/>
      <c r="K53" s="445"/>
      <c r="L53" s="445"/>
      <c r="M53" s="200"/>
    </row>
    <row r="54" spans="1:13" ht="13.8" customHeight="1" x14ac:dyDescent="0.3">
      <c r="A54" s="442">
        <f t="shared" si="0"/>
        <v>0</v>
      </c>
      <c r="B54" s="444"/>
      <c r="C54" s="445"/>
      <c r="D54" s="446"/>
      <c r="E54" s="447"/>
      <c r="F54" s="447"/>
      <c r="G54" s="445"/>
      <c r="H54" s="446"/>
      <c r="I54" s="445"/>
      <c r="J54" s="445"/>
      <c r="K54" s="446"/>
      <c r="L54" s="446"/>
      <c r="M54" s="200"/>
    </row>
    <row r="55" spans="1:13" ht="13.8" customHeight="1" x14ac:dyDescent="0.3">
      <c r="A55" s="442">
        <f t="shared" si="0"/>
        <v>0</v>
      </c>
      <c r="B55" s="444"/>
      <c r="C55" s="445"/>
      <c r="D55" s="446"/>
      <c r="E55" s="447"/>
      <c r="F55" s="447"/>
      <c r="G55" s="445"/>
      <c r="H55" s="446"/>
      <c r="I55" s="445"/>
      <c r="J55" s="445"/>
      <c r="K55" s="446"/>
      <c r="L55" s="446"/>
      <c r="M55" s="200"/>
    </row>
    <row r="56" spans="1:13" ht="13.8" customHeight="1" x14ac:dyDescent="0.3">
      <c r="A56" s="442">
        <f t="shared" si="0"/>
        <v>0</v>
      </c>
      <c r="B56" s="444"/>
      <c r="C56" s="445"/>
      <c r="D56" s="446"/>
      <c r="E56" s="447"/>
      <c r="F56" s="447"/>
      <c r="G56" s="445"/>
      <c r="H56" s="446"/>
      <c r="I56" s="445"/>
      <c r="J56" s="445"/>
      <c r="K56" s="446"/>
      <c r="L56" s="446"/>
      <c r="M56" s="200"/>
    </row>
    <row r="57" spans="1:13" ht="13.8" customHeight="1" x14ac:dyDescent="0.3">
      <c r="A57" s="442">
        <f t="shared" si="0"/>
        <v>0</v>
      </c>
      <c r="B57" s="444"/>
      <c r="C57" s="445"/>
      <c r="D57" s="446"/>
      <c r="E57" s="447"/>
      <c r="F57" s="447"/>
      <c r="G57" s="449"/>
      <c r="H57" s="446"/>
      <c r="I57" s="445"/>
      <c r="J57" s="445"/>
      <c r="K57" s="445"/>
      <c r="L57" s="445"/>
      <c r="M57" s="200"/>
    </row>
    <row r="58" spans="1:13" ht="13.8" customHeight="1" x14ac:dyDescent="0.3">
      <c r="A58" s="442">
        <f t="shared" si="0"/>
        <v>0</v>
      </c>
      <c r="B58" s="444"/>
      <c r="C58" s="445"/>
      <c r="D58" s="446"/>
      <c r="E58" s="447"/>
      <c r="F58" s="447"/>
      <c r="G58" s="445"/>
      <c r="H58" s="446"/>
      <c r="I58" s="445"/>
      <c r="J58" s="445"/>
      <c r="K58" s="445"/>
      <c r="L58" s="446"/>
      <c r="M58" s="200"/>
    </row>
    <row r="59" spans="1:13" ht="13.8" customHeight="1" x14ac:dyDescent="0.3">
      <c r="A59" s="442">
        <f t="shared" si="0"/>
        <v>0</v>
      </c>
      <c r="B59" s="444"/>
      <c r="C59" s="445"/>
      <c r="D59" s="446"/>
      <c r="E59" s="447"/>
      <c r="F59" s="447"/>
      <c r="G59" s="445"/>
      <c r="H59" s="446"/>
      <c r="I59" s="445"/>
      <c r="J59" s="445"/>
      <c r="K59" s="445"/>
      <c r="L59" s="446"/>
      <c r="M59" s="200"/>
    </row>
    <row r="60" spans="1:13" ht="13.8" customHeight="1" x14ac:dyDescent="0.3">
      <c r="A60" s="442">
        <f t="shared" si="0"/>
        <v>0</v>
      </c>
      <c r="B60" s="444"/>
      <c r="C60" s="445"/>
      <c r="D60" s="446"/>
      <c r="E60" s="447"/>
      <c r="F60" s="447"/>
      <c r="G60" s="445"/>
      <c r="H60" s="446"/>
      <c r="I60" s="445"/>
      <c r="J60" s="445"/>
      <c r="K60" s="446"/>
      <c r="L60" s="446"/>
      <c r="M60" s="200"/>
    </row>
    <row r="61" spans="1:13" ht="13.8" customHeight="1" x14ac:dyDescent="0.3">
      <c r="A61" s="442">
        <f t="shared" si="0"/>
        <v>0</v>
      </c>
      <c r="B61" s="444"/>
      <c r="C61" s="445"/>
      <c r="D61" s="446"/>
      <c r="E61" s="447"/>
      <c r="F61" s="447"/>
      <c r="G61" s="445"/>
      <c r="H61" s="446"/>
      <c r="I61" s="445"/>
      <c r="J61" s="445"/>
      <c r="K61" s="446"/>
      <c r="L61" s="446"/>
      <c r="M61" s="200"/>
    </row>
    <row r="62" spans="1:13" ht="13.8" customHeight="1" x14ac:dyDescent="0.3">
      <c r="A62" s="442">
        <f t="shared" si="0"/>
        <v>0</v>
      </c>
      <c r="B62" s="444"/>
      <c r="C62" s="445"/>
      <c r="D62" s="446"/>
      <c r="E62" s="447"/>
      <c r="F62" s="447"/>
      <c r="G62" s="445"/>
      <c r="H62" s="446"/>
      <c r="I62" s="445"/>
      <c r="J62" s="445"/>
      <c r="K62" s="445"/>
      <c r="L62" s="446"/>
      <c r="M62" s="200"/>
    </row>
    <row r="63" spans="1:13" ht="13.8" customHeight="1" x14ac:dyDescent="0.3">
      <c r="A63" s="442">
        <f t="shared" si="0"/>
        <v>0</v>
      </c>
      <c r="B63" s="444"/>
      <c r="C63" s="445"/>
      <c r="D63" s="445"/>
      <c r="E63" s="447"/>
      <c r="F63" s="447"/>
      <c r="G63" s="449"/>
      <c r="H63" s="446"/>
      <c r="I63" s="445"/>
      <c r="J63" s="445"/>
      <c r="K63" s="445"/>
      <c r="L63" s="445"/>
      <c r="M63" s="200"/>
    </row>
    <row r="64" spans="1:13" ht="13.8" customHeight="1" x14ac:dyDescent="0.3">
      <c r="A64" s="442">
        <f t="shared" si="0"/>
        <v>0</v>
      </c>
      <c r="B64" s="444"/>
      <c r="C64" s="445"/>
      <c r="D64" s="446"/>
      <c r="E64" s="447"/>
      <c r="F64" s="447"/>
      <c r="G64" s="445"/>
      <c r="H64" s="446"/>
      <c r="I64" s="445"/>
      <c r="J64" s="445"/>
      <c r="K64" s="446"/>
      <c r="L64" s="446"/>
      <c r="M64" s="200"/>
    </row>
    <row r="65" spans="1:13" ht="13.8" customHeight="1" x14ac:dyDescent="0.3">
      <c r="A65" s="442">
        <f t="shared" si="0"/>
        <v>0</v>
      </c>
      <c r="B65" s="444"/>
      <c r="C65" s="445"/>
      <c r="D65" s="446"/>
      <c r="E65" s="447"/>
      <c r="F65" s="447"/>
      <c r="G65" s="445"/>
      <c r="H65" s="446"/>
      <c r="I65" s="445"/>
      <c r="J65" s="445"/>
      <c r="K65" s="445"/>
      <c r="L65" s="445"/>
      <c r="M65" s="200"/>
    </row>
    <row r="66" spans="1:13" ht="13.8" customHeight="1" x14ac:dyDescent="0.3">
      <c r="A66" s="442">
        <f t="shared" si="0"/>
        <v>0</v>
      </c>
      <c r="B66" s="444"/>
      <c r="C66" s="445"/>
      <c r="D66" s="446"/>
      <c r="E66" s="447"/>
      <c r="F66" s="447"/>
      <c r="G66" s="445"/>
      <c r="H66" s="446"/>
      <c r="I66" s="445"/>
      <c r="J66" s="445"/>
      <c r="K66" s="445"/>
      <c r="L66" s="446"/>
      <c r="M66" s="200"/>
    </row>
    <row r="67" spans="1:13" ht="13.8" customHeight="1" x14ac:dyDescent="0.3">
      <c r="A67" s="442">
        <f t="shared" si="0"/>
        <v>0</v>
      </c>
      <c r="B67" s="444"/>
      <c r="C67" s="445"/>
      <c r="D67" s="446"/>
      <c r="E67" s="447"/>
      <c r="F67" s="447"/>
      <c r="G67" s="445"/>
      <c r="H67" s="446"/>
      <c r="I67" s="445"/>
      <c r="J67" s="445"/>
      <c r="K67" s="446"/>
      <c r="L67" s="446"/>
      <c r="M67" s="200"/>
    </row>
    <row r="68" spans="1:13" ht="13.8" customHeight="1" x14ac:dyDescent="0.3">
      <c r="A68" s="442">
        <f t="shared" si="0"/>
        <v>0</v>
      </c>
      <c r="B68" s="444"/>
      <c r="C68" s="445"/>
      <c r="D68" s="446"/>
      <c r="E68" s="447"/>
      <c r="F68" s="447"/>
      <c r="G68" s="449"/>
      <c r="H68" s="446"/>
      <c r="I68" s="445"/>
      <c r="J68" s="445"/>
      <c r="K68" s="446"/>
      <c r="L68" s="446"/>
      <c r="M68" s="200"/>
    </row>
    <row r="69" spans="1:13" ht="13.8" customHeight="1" x14ac:dyDescent="0.3">
      <c r="A69" s="442">
        <f t="shared" si="0"/>
        <v>0</v>
      </c>
      <c r="B69" s="444"/>
      <c r="C69" s="445"/>
      <c r="D69" s="446"/>
      <c r="E69" s="447"/>
      <c r="F69" s="447"/>
      <c r="G69" s="445"/>
      <c r="H69" s="446"/>
      <c r="I69" s="445"/>
      <c r="J69" s="445"/>
      <c r="K69" s="446"/>
      <c r="L69" s="446"/>
      <c r="M69" s="200"/>
    </row>
    <row r="70" spans="1:13" ht="13.8" customHeight="1" x14ac:dyDescent="0.3">
      <c r="A70" s="442">
        <f t="shared" si="0"/>
        <v>0</v>
      </c>
      <c r="B70" s="444"/>
      <c r="C70" s="445"/>
      <c r="D70" s="446"/>
      <c r="E70" s="447"/>
      <c r="F70" s="447"/>
      <c r="G70" s="445"/>
      <c r="H70" s="446"/>
      <c r="I70" s="445"/>
      <c r="J70" s="445"/>
      <c r="K70" s="446"/>
      <c r="L70" s="445"/>
      <c r="M70" s="200"/>
    </row>
    <row r="71" spans="1:13" ht="13.8" customHeight="1" x14ac:dyDescent="0.3">
      <c r="A71" s="442">
        <f t="shared" si="0"/>
        <v>0</v>
      </c>
      <c r="B71" s="444"/>
      <c r="C71" s="445"/>
      <c r="D71" s="446"/>
      <c r="E71" s="447"/>
      <c r="F71" s="447"/>
      <c r="G71" s="449"/>
      <c r="H71" s="445"/>
      <c r="I71" s="445"/>
      <c r="J71" s="445"/>
      <c r="K71" s="446"/>
      <c r="L71" s="445"/>
      <c r="M71" s="200"/>
    </row>
    <row r="72" spans="1:13" ht="13.8" customHeight="1" x14ac:dyDescent="0.3">
      <c r="A72" s="442">
        <f t="shared" si="0"/>
        <v>0</v>
      </c>
      <c r="B72" s="444"/>
      <c r="C72" s="445"/>
      <c r="D72" s="446"/>
      <c r="E72" s="447"/>
      <c r="F72" s="447"/>
      <c r="G72" s="445"/>
      <c r="H72" s="446"/>
      <c r="I72" s="445"/>
      <c r="J72" s="445"/>
      <c r="K72" s="446"/>
      <c r="L72" s="446"/>
      <c r="M72" s="200"/>
    </row>
    <row r="73" spans="1:13" ht="13.8" customHeight="1" x14ac:dyDescent="0.3">
      <c r="A73" s="442">
        <f t="shared" si="0"/>
        <v>0</v>
      </c>
      <c r="B73" s="444"/>
      <c r="C73" s="445"/>
      <c r="D73" s="446"/>
      <c r="E73" s="447"/>
      <c r="F73" s="447"/>
      <c r="G73" s="445"/>
      <c r="H73" s="446"/>
      <c r="I73" s="445"/>
      <c r="J73" s="445"/>
      <c r="K73" s="446"/>
      <c r="L73" s="446"/>
      <c r="M73" s="200"/>
    </row>
    <row r="74" spans="1:13" ht="13.8" customHeight="1" x14ac:dyDescent="0.3">
      <c r="A74" s="442">
        <f t="shared" si="0"/>
        <v>0</v>
      </c>
      <c r="B74" s="444"/>
      <c r="C74" s="445"/>
      <c r="D74" s="446"/>
      <c r="E74" s="447"/>
      <c r="F74" s="447"/>
      <c r="G74" s="445"/>
      <c r="H74" s="446"/>
      <c r="I74" s="445"/>
      <c r="J74" s="445"/>
      <c r="K74" s="446"/>
      <c r="L74" s="446"/>
      <c r="M74" s="200"/>
    </row>
    <row r="75" spans="1:13" ht="13.8" customHeight="1" x14ac:dyDescent="0.3">
      <c r="A75" s="442">
        <f t="shared" si="0"/>
        <v>0</v>
      </c>
      <c r="B75" s="444"/>
      <c r="C75" s="445"/>
      <c r="D75" s="446"/>
      <c r="E75" s="447"/>
      <c r="F75" s="447"/>
      <c r="G75" s="445"/>
      <c r="H75" s="446"/>
      <c r="I75" s="445"/>
      <c r="J75" s="445"/>
      <c r="K75" s="445"/>
      <c r="L75" s="446"/>
      <c r="M75" s="200"/>
    </row>
    <row r="76" spans="1:13" ht="13.8" customHeight="1" x14ac:dyDescent="0.3">
      <c r="A76" s="442">
        <f t="shared" si="0"/>
        <v>0</v>
      </c>
      <c r="B76" s="444"/>
      <c r="C76" s="445"/>
      <c r="D76" s="446"/>
      <c r="E76" s="447"/>
      <c r="F76" s="447"/>
      <c r="G76" s="445"/>
      <c r="H76" s="446"/>
      <c r="I76" s="445"/>
      <c r="J76" s="445"/>
      <c r="K76" s="446"/>
      <c r="L76" s="446"/>
      <c r="M76" s="200"/>
    </row>
    <row r="77" spans="1:13" ht="13.8" customHeight="1" x14ac:dyDescent="0.3">
      <c r="A77" s="442">
        <f t="shared" si="0"/>
        <v>0</v>
      </c>
      <c r="B77" s="444"/>
      <c r="C77" s="445"/>
      <c r="D77" s="446"/>
      <c r="E77" s="447"/>
      <c r="F77" s="447"/>
      <c r="G77" s="451"/>
      <c r="H77" s="446"/>
      <c r="I77" s="445"/>
      <c r="J77" s="445"/>
      <c r="K77" s="445"/>
      <c r="L77" s="445"/>
      <c r="M77" s="200"/>
    </row>
    <row r="78" spans="1:13" ht="13.8" customHeight="1" x14ac:dyDescent="0.3">
      <c r="A78" s="442">
        <f t="shared" si="0"/>
        <v>0</v>
      </c>
      <c r="B78" s="444"/>
      <c r="C78" s="445"/>
      <c r="D78" s="446"/>
      <c r="E78" s="447"/>
      <c r="F78" s="447"/>
      <c r="G78" s="445"/>
      <c r="H78" s="446"/>
      <c r="I78" s="445"/>
      <c r="J78" s="445"/>
      <c r="K78" s="445"/>
      <c r="L78" s="446"/>
      <c r="M78" s="200"/>
    </row>
    <row r="79" spans="1:13" ht="13.8" customHeight="1" x14ac:dyDescent="0.3">
      <c r="A79" s="442">
        <f t="shared" ref="A79:A142" si="1">IF(D79="",0,SUBSTITUTE(LOWER(D79),"km","")+0)</f>
        <v>0</v>
      </c>
      <c r="B79" s="444"/>
      <c r="C79" s="445"/>
      <c r="D79" s="446"/>
      <c r="E79" s="447"/>
      <c r="F79" s="447"/>
      <c r="G79" s="445"/>
      <c r="H79" s="446"/>
      <c r="I79" s="445"/>
      <c r="J79" s="445"/>
      <c r="K79" s="445"/>
      <c r="L79" s="446"/>
      <c r="M79" s="200"/>
    </row>
    <row r="80" spans="1:13" ht="13.8" customHeight="1" x14ac:dyDescent="0.3">
      <c r="A80" s="442">
        <f t="shared" si="1"/>
        <v>0</v>
      </c>
      <c r="B80" s="444"/>
      <c r="C80" s="445"/>
      <c r="D80" s="446"/>
      <c r="E80" s="447"/>
      <c r="F80" s="447"/>
      <c r="G80" s="445"/>
      <c r="H80" s="446"/>
      <c r="I80" s="445"/>
      <c r="J80" s="445"/>
      <c r="K80" s="446"/>
      <c r="L80" s="446"/>
      <c r="M80" s="200"/>
    </row>
    <row r="81" spans="1:13" ht="13.8" customHeight="1" x14ac:dyDescent="0.3">
      <c r="A81" s="442">
        <f t="shared" si="1"/>
        <v>0</v>
      </c>
      <c r="B81" s="444"/>
      <c r="C81" s="445"/>
      <c r="D81" s="446"/>
      <c r="E81" s="447"/>
      <c r="F81" s="447"/>
      <c r="G81" s="445"/>
      <c r="H81" s="446"/>
      <c r="I81" s="445"/>
      <c r="J81" s="445"/>
      <c r="K81" s="446"/>
      <c r="L81" s="446"/>
      <c r="M81" s="200"/>
    </row>
    <row r="82" spans="1:13" ht="13.8" customHeight="1" x14ac:dyDescent="0.3">
      <c r="A82" s="442">
        <f t="shared" si="1"/>
        <v>0</v>
      </c>
      <c r="B82" s="444"/>
      <c r="C82" s="445"/>
      <c r="D82" s="446"/>
      <c r="E82" s="447"/>
      <c r="F82" s="447"/>
      <c r="G82" s="445"/>
      <c r="H82" s="446"/>
      <c r="I82" s="445"/>
      <c r="J82" s="445"/>
      <c r="K82" s="445"/>
      <c r="L82" s="445"/>
      <c r="M82" s="200"/>
    </row>
    <row r="83" spans="1:13" ht="13.8" customHeight="1" x14ac:dyDescent="0.3">
      <c r="A83" s="442">
        <f t="shared" si="1"/>
        <v>0</v>
      </c>
      <c r="B83" s="444"/>
      <c r="C83" s="445"/>
      <c r="D83" s="446"/>
      <c r="E83" s="447"/>
      <c r="F83" s="447"/>
      <c r="G83" s="445"/>
      <c r="H83" s="445"/>
      <c r="I83" s="445"/>
      <c r="J83" s="445"/>
      <c r="K83" s="445"/>
      <c r="L83" s="445"/>
      <c r="M83" s="200"/>
    </row>
    <row r="84" spans="1:13" ht="13.8" customHeight="1" x14ac:dyDescent="0.3">
      <c r="A84" s="442">
        <f t="shared" si="1"/>
        <v>0</v>
      </c>
      <c r="B84" s="444"/>
      <c r="C84" s="445"/>
      <c r="D84" s="446"/>
      <c r="E84" s="447"/>
      <c r="F84" s="447"/>
      <c r="G84" s="445"/>
      <c r="H84" s="446"/>
      <c r="I84" s="445"/>
      <c r="J84" s="445"/>
      <c r="K84" s="445"/>
      <c r="L84" s="446"/>
      <c r="M84" s="200"/>
    </row>
    <row r="85" spans="1:13" ht="13.8" customHeight="1" x14ac:dyDescent="0.3">
      <c r="A85" s="442">
        <f t="shared" si="1"/>
        <v>0</v>
      </c>
      <c r="B85" s="444"/>
      <c r="C85" s="445"/>
      <c r="D85" s="446"/>
      <c r="E85" s="447"/>
      <c r="F85" s="447"/>
      <c r="G85" s="445"/>
      <c r="H85" s="446"/>
      <c r="I85" s="445"/>
      <c r="J85" s="445"/>
      <c r="K85" s="445"/>
      <c r="L85" s="445"/>
      <c r="M85" s="200"/>
    </row>
    <row r="86" spans="1:13" ht="13.8" customHeight="1" x14ac:dyDescent="0.3">
      <c r="A86" s="442">
        <f t="shared" si="1"/>
        <v>0</v>
      </c>
      <c r="B86" s="444"/>
      <c r="C86" s="445"/>
      <c r="D86" s="446"/>
      <c r="E86" s="447"/>
      <c r="F86" s="447"/>
      <c r="G86" s="445"/>
      <c r="H86" s="446"/>
      <c r="I86" s="445"/>
      <c r="J86" s="445"/>
      <c r="K86" s="445"/>
      <c r="L86" s="446"/>
      <c r="M86" s="200"/>
    </row>
    <row r="87" spans="1:13" ht="13.8" customHeight="1" x14ac:dyDescent="0.3">
      <c r="A87" s="442">
        <f t="shared" si="1"/>
        <v>0</v>
      </c>
      <c r="B87" s="444"/>
      <c r="C87" s="445"/>
      <c r="D87" s="446"/>
      <c r="E87" s="447"/>
      <c r="F87" s="447"/>
      <c r="G87" s="445"/>
      <c r="H87" s="446"/>
      <c r="I87" s="445"/>
      <c r="J87" s="445"/>
      <c r="K87" s="446"/>
      <c r="L87" s="446"/>
      <c r="M87" s="200"/>
    </row>
    <row r="88" spans="1:13" ht="13.8" customHeight="1" x14ac:dyDescent="0.3">
      <c r="A88" s="442">
        <f t="shared" si="1"/>
        <v>0</v>
      </c>
      <c r="B88" s="444"/>
      <c r="C88" s="445"/>
      <c r="D88" s="446"/>
      <c r="E88" s="447"/>
      <c r="F88" s="447"/>
      <c r="G88" s="445"/>
      <c r="H88" s="446"/>
      <c r="I88" s="445"/>
      <c r="J88" s="445"/>
      <c r="K88" s="446"/>
      <c r="L88" s="446"/>
      <c r="M88" s="200"/>
    </row>
    <row r="89" spans="1:13" ht="13.8" customHeight="1" x14ac:dyDescent="0.3">
      <c r="A89" s="442">
        <f t="shared" si="1"/>
        <v>0</v>
      </c>
      <c r="B89" s="444"/>
      <c r="C89" s="445"/>
      <c r="D89" s="446"/>
      <c r="E89" s="447"/>
      <c r="F89" s="447"/>
      <c r="G89" s="449"/>
      <c r="H89" s="446"/>
      <c r="I89" s="445"/>
      <c r="J89" s="445"/>
      <c r="K89" s="445"/>
      <c r="L89" s="446"/>
      <c r="M89" s="200"/>
    </row>
    <row r="90" spans="1:13" ht="13.8" customHeight="1" x14ac:dyDescent="0.3">
      <c r="A90" s="442">
        <f t="shared" si="1"/>
        <v>0</v>
      </c>
      <c r="B90" s="444"/>
      <c r="C90" s="445"/>
      <c r="D90" s="446"/>
      <c r="E90" s="447"/>
      <c r="F90" s="447"/>
      <c r="G90" s="445"/>
      <c r="H90" s="446"/>
      <c r="I90" s="445"/>
      <c r="J90" s="445"/>
      <c r="K90" s="445"/>
      <c r="L90" s="446"/>
    </row>
    <row r="91" spans="1:13" ht="13.8" customHeight="1" x14ac:dyDescent="0.3">
      <c r="A91" s="442">
        <f t="shared" si="1"/>
        <v>0</v>
      </c>
      <c r="B91" s="444"/>
      <c r="C91" s="445"/>
      <c r="D91" s="446"/>
      <c r="E91" s="447"/>
      <c r="F91" s="447"/>
      <c r="G91" s="445"/>
      <c r="H91" s="446"/>
      <c r="I91" s="445"/>
      <c r="J91" s="445"/>
      <c r="K91" s="445"/>
      <c r="L91" s="446"/>
    </row>
    <row r="92" spans="1:13" ht="13.8" customHeight="1" x14ac:dyDescent="0.3">
      <c r="A92" s="442">
        <f t="shared" si="1"/>
        <v>0</v>
      </c>
      <c r="B92" s="444"/>
      <c r="C92" s="445"/>
      <c r="D92" s="446"/>
      <c r="E92" s="447"/>
      <c r="F92" s="447"/>
      <c r="G92" s="445"/>
      <c r="H92" s="446"/>
      <c r="I92" s="445"/>
      <c r="J92" s="445"/>
      <c r="K92" s="446"/>
      <c r="L92" s="446"/>
    </row>
    <row r="93" spans="1:13" ht="13.8" customHeight="1" x14ac:dyDescent="0.3">
      <c r="A93" s="442">
        <f t="shared" si="1"/>
        <v>0</v>
      </c>
      <c r="B93" s="444"/>
      <c r="C93" s="445"/>
      <c r="D93" s="446"/>
      <c r="E93" s="447"/>
      <c r="F93" s="447"/>
      <c r="G93" s="445"/>
      <c r="H93" s="446"/>
      <c r="I93" s="445"/>
      <c r="J93" s="445"/>
      <c r="K93" s="445"/>
      <c r="L93" s="446"/>
    </row>
    <row r="94" spans="1:13" ht="13.8" customHeight="1" x14ac:dyDescent="0.3">
      <c r="A94" s="442">
        <f t="shared" si="1"/>
        <v>0</v>
      </c>
      <c r="B94" s="444"/>
      <c r="C94" s="445"/>
      <c r="D94" s="446"/>
      <c r="E94" s="447"/>
      <c r="F94" s="447"/>
      <c r="G94" s="445"/>
      <c r="H94" s="446"/>
      <c r="I94" s="445"/>
      <c r="J94" s="445"/>
      <c r="K94" s="445"/>
      <c r="L94" s="446"/>
    </row>
    <row r="95" spans="1:13" ht="13.8" customHeight="1" x14ac:dyDescent="0.3">
      <c r="A95" s="442">
        <f t="shared" si="1"/>
        <v>0</v>
      </c>
      <c r="B95" s="444"/>
      <c r="C95" s="445"/>
      <c r="D95" s="446"/>
      <c r="E95" s="447"/>
      <c r="F95" s="447"/>
      <c r="G95" s="449"/>
      <c r="H95" s="446"/>
      <c r="I95" s="445"/>
      <c r="J95" s="445"/>
      <c r="K95" s="445"/>
      <c r="L95" s="445"/>
    </row>
    <row r="96" spans="1:13" ht="13.8" customHeight="1" x14ac:dyDescent="0.3">
      <c r="A96" s="442">
        <f t="shared" si="1"/>
        <v>0</v>
      </c>
      <c r="B96" s="444"/>
      <c r="C96" s="445"/>
      <c r="D96" s="446"/>
      <c r="E96" s="447"/>
      <c r="F96" s="447"/>
      <c r="G96" s="445"/>
      <c r="H96" s="446"/>
      <c r="I96" s="445"/>
      <c r="J96" s="445"/>
      <c r="K96" s="446"/>
      <c r="L96" s="446"/>
    </row>
    <row r="97" spans="1:12" ht="13.8" customHeight="1" x14ac:dyDescent="0.3">
      <c r="A97" s="442">
        <f t="shared" si="1"/>
        <v>0</v>
      </c>
      <c r="B97" s="444"/>
      <c r="C97" s="445"/>
      <c r="D97" s="446"/>
      <c r="E97" s="447"/>
      <c r="F97" s="447"/>
      <c r="G97" s="445"/>
      <c r="H97" s="445"/>
      <c r="I97" s="445"/>
      <c r="J97" s="445"/>
      <c r="K97" s="445"/>
      <c r="L97" s="446"/>
    </row>
    <row r="98" spans="1:12" ht="13.8" customHeight="1" x14ac:dyDescent="0.3">
      <c r="A98" s="442">
        <f t="shared" si="1"/>
        <v>0</v>
      </c>
      <c r="B98" s="444"/>
      <c r="C98" s="445"/>
      <c r="D98" s="446"/>
      <c r="E98" s="447"/>
      <c r="F98" s="447"/>
      <c r="G98" s="445"/>
      <c r="H98" s="445"/>
      <c r="I98" s="445"/>
      <c r="J98" s="445"/>
      <c r="K98" s="446"/>
      <c r="L98" s="446"/>
    </row>
    <row r="99" spans="1:12" ht="13.8" customHeight="1" x14ac:dyDescent="0.3">
      <c r="A99" s="442">
        <f t="shared" si="1"/>
        <v>0</v>
      </c>
      <c r="B99" s="444"/>
      <c r="C99" s="445"/>
      <c r="D99" s="446"/>
      <c r="E99" s="447"/>
      <c r="F99" s="447"/>
      <c r="G99" s="445"/>
      <c r="H99" s="446"/>
      <c r="I99" s="445"/>
      <c r="J99" s="445"/>
      <c r="K99" s="445"/>
      <c r="L99" s="445"/>
    </row>
    <row r="100" spans="1:12" ht="13.8" customHeight="1" x14ac:dyDescent="0.3">
      <c r="A100" s="442">
        <f t="shared" si="1"/>
        <v>0</v>
      </c>
      <c r="B100" s="444"/>
      <c r="C100" s="445"/>
      <c r="D100" s="446"/>
      <c r="E100" s="447"/>
      <c r="F100" s="447"/>
      <c r="G100" s="445"/>
      <c r="H100" s="446"/>
      <c r="I100" s="445"/>
      <c r="J100" s="445"/>
      <c r="K100" s="445"/>
      <c r="L100" s="445"/>
    </row>
    <row r="101" spans="1:12" ht="13.8" customHeight="1" x14ac:dyDescent="0.3">
      <c r="A101" s="442">
        <f t="shared" si="1"/>
        <v>0</v>
      </c>
      <c r="B101" s="444"/>
      <c r="C101" s="445"/>
      <c r="D101" s="446"/>
      <c r="E101" s="447"/>
      <c r="F101" s="447"/>
      <c r="G101" s="449"/>
      <c r="H101" s="445"/>
      <c r="I101" s="445"/>
      <c r="J101" s="445"/>
      <c r="K101" s="445"/>
      <c r="L101" s="445"/>
    </row>
    <row r="102" spans="1:12" ht="13.8" customHeight="1" x14ac:dyDescent="0.3">
      <c r="A102" s="442">
        <f t="shared" si="1"/>
        <v>0</v>
      </c>
      <c r="B102" s="444"/>
      <c r="C102" s="445"/>
      <c r="D102" s="445"/>
      <c r="E102" s="447"/>
      <c r="F102" s="447"/>
      <c r="G102" s="449"/>
      <c r="H102" s="445"/>
      <c r="I102" s="445"/>
      <c r="J102" s="445"/>
      <c r="K102" s="445"/>
      <c r="L102" s="445"/>
    </row>
    <row r="103" spans="1:12" ht="13.8" customHeight="1" x14ac:dyDescent="0.3">
      <c r="A103" s="442">
        <f t="shared" si="1"/>
        <v>0</v>
      </c>
      <c r="B103" s="444"/>
      <c r="C103" s="445"/>
      <c r="D103" s="446"/>
      <c r="E103" s="447"/>
      <c r="F103" s="447"/>
      <c r="G103" s="445"/>
      <c r="H103" s="446"/>
      <c r="I103" s="445"/>
      <c r="J103" s="445"/>
      <c r="K103" s="445"/>
      <c r="L103" s="446"/>
    </row>
    <row r="104" spans="1:12" ht="13.8" customHeight="1" x14ac:dyDescent="0.3">
      <c r="A104" s="442">
        <f t="shared" si="1"/>
        <v>0</v>
      </c>
      <c r="B104" s="444"/>
      <c r="C104" s="445"/>
      <c r="D104" s="446"/>
      <c r="E104" s="447"/>
      <c r="F104" s="447"/>
      <c r="G104" s="445"/>
      <c r="H104" s="446"/>
      <c r="I104" s="445"/>
      <c r="J104" s="445"/>
      <c r="K104" s="445"/>
      <c r="L104" s="446"/>
    </row>
    <row r="105" spans="1:12" ht="13.8" customHeight="1" x14ac:dyDescent="0.3">
      <c r="A105" s="442">
        <f t="shared" si="1"/>
        <v>0</v>
      </c>
      <c r="B105" s="444"/>
      <c r="C105" s="445"/>
      <c r="D105" s="446"/>
      <c r="E105" s="447"/>
      <c r="F105" s="447"/>
      <c r="G105" s="445"/>
      <c r="H105" s="445"/>
      <c r="I105" s="445"/>
      <c r="J105" s="445"/>
      <c r="K105" s="445"/>
      <c r="L105" s="445"/>
    </row>
    <row r="106" spans="1:12" ht="13.8" customHeight="1" x14ac:dyDescent="0.3">
      <c r="A106" s="442">
        <f t="shared" si="1"/>
        <v>0</v>
      </c>
      <c r="B106" s="444"/>
      <c r="C106" s="445"/>
      <c r="D106" s="445"/>
      <c r="E106" s="447"/>
      <c r="F106" s="447"/>
      <c r="G106" s="449"/>
      <c r="H106" s="445"/>
      <c r="I106" s="445"/>
      <c r="J106" s="445"/>
      <c r="K106" s="445"/>
      <c r="L106" s="445"/>
    </row>
    <row r="107" spans="1:12" ht="13.8" customHeight="1" x14ac:dyDescent="0.3">
      <c r="A107" s="442">
        <f t="shared" si="1"/>
        <v>0</v>
      </c>
      <c r="B107" s="444"/>
      <c r="C107" s="445"/>
      <c r="D107" s="446"/>
      <c r="E107" s="447"/>
      <c r="F107" s="447"/>
      <c r="G107" s="445"/>
      <c r="H107" s="445"/>
      <c r="I107" s="445"/>
      <c r="J107" s="445"/>
      <c r="K107" s="446"/>
      <c r="L107" s="446"/>
    </row>
    <row r="108" spans="1:12" ht="13.8" customHeight="1" x14ac:dyDescent="0.3">
      <c r="A108" s="442">
        <f t="shared" si="1"/>
        <v>0</v>
      </c>
      <c r="B108" s="444"/>
      <c r="C108" s="445"/>
      <c r="D108" s="445"/>
      <c r="E108" s="447"/>
      <c r="F108" s="447"/>
      <c r="G108" s="445"/>
      <c r="H108" s="445"/>
      <c r="I108" s="445"/>
      <c r="J108" s="445"/>
      <c r="K108" s="445"/>
      <c r="L108" s="446"/>
    </row>
    <row r="109" spans="1:12" ht="13.8" customHeight="1" x14ac:dyDescent="0.3">
      <c r="A109" s="442">
        <f t="shared" si="1"/>
        <v>0</v>
      </c>
      <c r="B109" s="444"/>
      <c r="C109" s="445"/>
      <c r="D109" s="445"/>
      <c r="E109" s="447"/>
      <c r="F109" s="447"/>
      <c r="G109" s="445"/>
      <c r="H109" s="445"/>
      <c r="I109" s="445"/>
      <c r="J109" s="445"/>
      <c r="K109" s="446"/>
      <c r="L109" s="446"/>
    </row>
    <row r="110" spans="1:12" ht="13.8" customHeight="1" x14ac:dyDescent="0.3">
      <c r="A110" s="442">
        <f t="shared" si="1"/>
        <v>0</v>
      </c>
      <c r="B110" s="444"/>
      <c r="C110" s="445"/>
      <c r="D110" s="445"/>
      <c r="E110" s="447"/>
      <c r="F110" s="447"/>
      <c r="G110" s="449"/>
      <c r="H110" s="445"/>
      <c r="I110" s="445"/>
      <c r="J110" s="445"/>
      <c r="K110" s="445"/>
      <c r="L110" s="445"/>
    </row>
    <row r="111" spans="1:12" ht="13.8" customHeight="1" x14ac:dyDescent="0.3">
      <c r="A111" s="442">
        <f t="shared" si="1"/>
        <v>0</v>
      </c>
      <c r="B111" s="444"/>
      <c r="C111" s="445"/>
      <c r="D111" s="446"/>
      <c r="E111" s="447"/>
      <c r="F111" s="447"/>
      <c r="G111" s="445"/>
      <c r="H111" s="445"/>
      <c r="I111" s="445"/>
      <c r="J111" s="445"/>
      <c r="K111" s="445"/>
      <c r="L111" s="446"/>
    </row>
    <row r="112" spans="1:12" ht="13.8" customHeight="1" x14ac:dyDescent="0.3">
      <c r="A112" s="442">
        <f t="shared" si="1"/>
        <v>0</v>
      </c>
      <c r="B112" s="444"/>
      <c r="C112" s="445"/>
      <c r="D112" s="446"/>
      <c r="E112" s="447"/>
      <c r="F112" s="447"/>
      <c r="G112" s="445"/>
      <c r="H112" s="445"/>
      <c r="I112" s="445"/>
      <c r="J112" s="445"/>
      <c r="K112" s="445"/>
      <c r="L112" s="446"/>
    </row>
    <row r="113" spans="1:12" ht="13.8" customHeight="1" x14ac:dyDescent="0.3">
      <c r="A113" s="442">
        <f t="shared" si="1"/>
        <v>0</v>
      </c>
      <c r="B113" s="444"/>
      <c r="C113" s="445"/>
      <c r="D113" s="445"/>
      <c r="E113" s="447"/>
      <c r="F113" s="447"/>
      <c r="G113" s="445"/>
      <c r="H113" s="445"/>
      <c r="I113" s="445"/>
      <c r="J113" s="445"/>
      <c r="K113" s="445"/>
      <c r="L113" s="445"/>
    </row>
    <row r="114" spans="1:12" ht="13.8" customHeight="1" x14ac:dyDescent="0.3">
      <c r="A114" s="442">
        <f t="shared" si="1"/>
        <v>0</v>
      </c>
      <c r="B114" s="444"/>
      <c r="C114" s="445"/>
      <c r="D114" s="445"/>
      <c r="E114" s="447"/>
      <c r="F114" s="447"/>
      <c r="G114" s="449"/>
      <c r="H114" s="445"/>
      <c r="I114" s="445"/>
      <c r="J114" s="445"/>
      <c r="K114" s="446"/>
      <c r="L114" s="446"/>
    </row>
    <row r="115" spans="1:12" ht="13.8" customHeight="1" x14ac:dyDescent="0.3">
      <c r="A115" s="442">
        <f t="shared" si="1"/>
        <v>0</v>
      </c>
      <c r="B115" s="444"/>
      <c r="C115" s="445"/>
      <c r="D115" s="445"/>
      <c r="E115" s="447"/>
      <c r="F115" s="447"/>
      <c r="G115" s="445"/>
      <c r="H115" s="445"/>
      <c r="I115" s="445"/>
      <c r="J115" s="445"/>
      <c r="K115" s="446"/>
      <c r="L115" s="446"/>
    </row>
    <row r="116" spans="1:12" ht="13.8" customHeight="1" x14ac:dyDescent="0.3">
      <c r="A116" s="442">
        <f t="shared" si="1"/>
        <v>0</v>
      </c>
      <c r="B116" s="444"/>
      <c r="C116" s="445"/>
      <c r="D116" s="446"/>
      <c r="E116" s="447"/>
      <c r="F116" s="447"/>
      <c r="G116" s="445"/>
      <c r="H116" s="446"/>
      <c r="I116" s="445"/>
      <c r="J116" s="445"/>
      <c r="K116" s="446"/>
      <c r="L116" s="446"/>
    </row>
    <row r="117" spans="1:12" ht="13.8" customHeight="1" x14ac:dyDescent="0.3">
      <c r="A117" s="442">
        <f t="shared" si="1"/>
        <v>0</v>
      </c>
      <c r="B117" s="444"/>
      <c r="C117" s="445"/>
      <c r="D117" s="446"/>
      <c r="E117" s="447"/>
      <c r="F117" s="447"/>
      <c r="G117" s="445"/>
      <c r="H117" s="446"/>
      <c r="I117" s="445"/>
      <c r="J117" s="445"/>
      <c r="K117" s="445"/>
      <c r="L117" s="445"/>
    </row>
    <row r="118" spans="1:12" ht="13.8" customHeight="1" x14ac:dyDescent="0.3">
      <c r="A118" s="442">
        <f t="shared" si="1"/>
        <v>0</v>
      </c>
      <c r="B118" s="444"/>
      <c r="C118" s="445"/>
      <c r="D118" s="446"/>
      <c r="E118" s="447"/>
      <c r="F118" s="447"/>
      <c r="G118" s="449"/>
      <c r="H118" s="446"/>
      <c r="I118" s="445"/>
      <c r="J118" s="445"/>
      <c r="K118" s="446"/>
      <c r="L118" s="446"/>
    </row>
    <row r="119" spans="1:12" ht="13.8" customHeight="1" x14ac:dyDescent="0.3">
      <c r="A119" s="442">
        <f t="shared" si="1"/>
        <v>0</v>
      </c>
      <c r="B119" s="444"/>
      <c r="C119" s="445"/>
      <c r="D119" s="446"/>
      <c r="E119" s="447"/>
      <c r="F119" s="447"/>
      <c r="G119" s="445"/>
      <c r="H119" s="446"/>
      <c r="I119" s="445"/>
      <c r="J119" s="445"/>
      <c r="K119" s="446"/>
      <c r="L119" s="446"/>
    </row>
    <row r="120" spans="1:12" ht="13.8" customHeight="1" x14ac:dyDescent="0.3">
      <c r="A120" s="442">
        <f t="shared" si="1"/>
        <v>0</v>
      </c>
      <c r="B120" s="444"/>
      <c r="C120" s="445"/>
      <c r="D120" s="446"/>
      <c r="E120" s="447"/>
      <c r="F120" s="447"/>
      <c r="G120" s="449"/>
      <c r="H120" s="446"/>
      <c r="I120" s="445"/>
      <c r="J120" s="445"/>
      <c r="K120" s="445"/>
      <c r="L120" s="445"/>
    </row>
    <row r="121" spans="1:12" ht="13.8" customHeight="1" x14ac:dyDescent="0.3">
      <c r="A121" s="442">
        <f t="shared" si="1"/>
        <v>0</v>
      </c>
      <c r="B121" s="444"/>
      <c r="C121" s="445"/>
      <c r="D121" s="446"/>
      <c r="E121" s="447"/>
      <c r="F121" s="447"/>
      <c r="G121" s="449"/>
      <c r="H121" s="446"/>
      <c r="I121" s="445"/>
      <c r="J121" s="445"/>
      <c r="K121" s="445"/>
      <c r="L121" s="446"/>
    </row>
    <row r="122" spans="1:12" ht="13.8" customHeight="1" x14ac:dyDescent="0.3">
      <c r="A122" s="442">
        <f t="shared" si="1"/>
        <v>0</v>
      </c>
      <c r="B122" s="444"/>
      <c r="C122" s="445"/>
      <c r="D122" s="446"/>
      <c r="E122" s="447"/>
      <c r="F122" s="447"/>
      <c r="G122" s="445"/>
      <c r="H122" s="446"/>
      <c r="I122" s="445"/>
      <c r="J122" s="445"/>
      <c r="K122" s="445"/>
      <c r="L122" s="446"/>
    </row>
    <row r="123" spans="1:12" ht="13.8" customHeight="1" x14ac:dyDescent="0.3">
      <c r="A123" s="442">
        <f t="shared" si="1"/>
        <v>0</v>
      </c>
      <c r="B123" s="444"/>
      <c r="C123" s="445"/>
      <c r="D123" s="446"/>
      <c r="E123" s="447"/>
      <c r="F123" s="447"/>
      <c r="G123" s="449"/>
      <c r="H123" s="446"/>
      <c r="I123" s="445"/>
      <c r="J123" s="445"/>
      <c r="K123" s="445"/>
      <c r="L123" s="446"/>
    </row>
    <row r="124" spans="1:12" ht="13.8" customHeight="1" x14ac:dyDescent="0.3">
      <c r="A124" s="442">
        <f t="shared" si="1"/>
        <v>0</v>
      </c>
      <c r="B124" s="444"/>
      <c r="C124" s="445"/>
      <c r="D124" s="446"/>
      <c r="E124" s="447"/>
      <c r="F124" s="447"/>
      <c r="G124" s="445"/>
      <c r="H124" s="446"/>
      <c r="I124" s="445"/>
      <c r="J124" s="445"/>
      <c r="K124" s="446"/>
      <c r="L124" s="446"/>
    </row>
    <row r="125" spans="1:12" ht="13.8" customHeight="1" x14ac:dyDescent="0.3">
      <c r="A125" s="442">
        <f t="shared" si="1"/>
        <v>0</v>
      </c>
      <c r="B125" s="444"/>
      <c r="C125" s="445"/>
      <c r="D125" s="446"/>
      <c r="E125" s="447"/>
      <c r="F125" s="447"/>
      <c r="G125" s="449"/>
      <c r="H125" s="446"/>
      <c r="I125" s="445"/>
      <c r="J125" s="445"/>
      <c r="K125" s="445"/>
      <c r="L125" s="446"/>
    </row>
    <row r="126" spans="1:12" ht="13.8" customHeight="1" x14ac:dyDescent="0.3">
      <c r="A126" s="442">
        <f t="shared" si="1"/>
        <v>0</v>
      </c>
      <c r="B126" s="444"/>
      <c r="C126" s="445"/>
      <c r="D126" s="446"/>
      <c r="E126" s="447"/>
      <c r="F126" s="447"/>
      <c r="G126" s="449"/>
      <c r="H126" s="446"/>
      <c r="I126" s="445"/>
      <c r="J126" s="445"/>
      <c r="K126" s="446"/>
      <c r="L126" s="446"/>
    </row>
    <row r="127" spans="1:12" ht="13.8" customHeight="1" x14ac:dyDescent="0.3">
      <c r="A127" s="442">
        <f t="shared" si="1"/>
        <v>0</v>
      </c>
      <c r="B127" s="444"/>
      <c r="C127" s="445"/>
      <c r="D127" s="446"/>
      <c r="E127" s="447"/>
      <c r="F127" s="447"/>
      <c r="G127" s="449"/>
      <c r="H127" s="446"/>
      <c r="I127" s="445"/>
      <c r="J127" s="445"/>
      <c r="K127" s="446"/>
      <c r="L127" s="446"/>
    </row>
    <row r="128" spans="1:12" ht="13.8" customHeight="1" x14ac:dyDescent="0.3">
      <c r="A128" s="442">
        <f t="shared" si="1"/>
        <v>0</v>
      </c>
      <c r="B128" s="444"/>
      <c r="C128" s="445"/>
      <c r="D128" s="446"/>
      <c r="E128" s="447"/>
      <c r="F128" s="447"/>
      <c r="G128" s="445"/>
      <c r="H128" s="446"/>
      <c r="I128" s="445"/>
      <c r="J128" s="445"/>
      <c r="K128" s="446"/>
      <c r="L128" s="446"/>
    </row>
    <row r="129" spans="1:12" ht="13.8" customHeight="1" x14ac:dyDescent="0.3">
      <c r="A129" s="442">
        <f t="shared" si="1"/>
        <v>0</v>
      </c>
      <c r="B129" s="444"/>
      <c r="C129" s="445"/>
      <c r="D129" s="446"/>
      <c r="E129" s="447"/>
      <c r="F129" s="447"/>
      <c r="G129" s="445"/>
      <c r="H129" s="446"/>
      <c r="I129" s="445"/>
      <c r="J129" s="445"/>
      <c r="K129" s="445"/>
      <c r="L129" s="446"/>
    </row>
    <row r="130" spans="1:12" ht="13.8" customHeight="1" x14ac:dyDescent="0.3">
      <c r="A130" s="442">
        <f t="shared" si="1"/>
        <v>0</v>
      </c>
      <c r="B130" s="444"/>
      <c r="C130" s="445"/>
      <c r="D130" s="446"/>
      <c r="E130" s="447"/>
      <c r="F130" s="447"/>
      <c r="G130" s="445"/>
      <c r="H130" s="446"/>
      <c r="I130" s="445"/>
      <c r="J130" s="445"/>
      <c r="K130" s="445"/>
      <c r="L130" s="446"/>
    </row>
    <row r="131" spans="1:12" ht="13.8" customHeight="1" x14ac:dyDescent="0.3">
      <c r="A131" s="442">
        <f t="shared" si="1"/>
        <v>0</v>
      </c>
      <c r="B131" s="444"/>
      <c r="C131" s="445"/>
      <c r="D131" s="446"/>
      <c r="E131" s="447"/>
      <c r="F131" s="447"/>
      <c r="G131" s="445"/>
      <c r="H131" s="446"/>
      <c r="I131" s="445"/>
      <c r="J131" s="445"/>
      <c r="K131" s="445"/>
      <c r="L131" s="445"/>
    </row>
    <row r="132" spans="1:12" ht="13.8" customHeight="1" x14ac:dyDescent="0.3">
      <c r="A132" s="442">
        <f t="shared" si="1"/>
        <v>0</v>
      </c>
      <c r="B132" s="444"/>
      <c r="C132" s="445"/>
      <c r="D132" s="445"/>
      <c r="E132" s="447"/>
      <c r="F132" s="447"/>
      <c r="G132" s="452"/>
      <c r="H132" s="445"/>
      <c r="I132" s="445"/>
      <c r="J132" s="445"/>
      <c r="K132" s="445"/>
      <c r="L132" s="446"/>
    </row>
    <row r="133" spans="1:12" ht="13.8" customHeight="1" x14ac:dyDescent="0.3">
      <c r="A133" s="442">
        <f t="shared" si="1"/>
        <v>0</v>
      </c>
      <c r="B133" s="444"/>
      <c r="C133" s="445"/>
      <c r="D133" s="445"/>
      <c r="E133" s="447"/>
      <c r="F133" s="447"/>
      <c r="G133" s="452"/>
      <c r="H133" s="445"/>
      <c r="I133" s="445"/>
      <c r="J133" s="445"/>
      <c r="K133" s="445"/>
      <c r="L133" s="446"/>
    </row>
    <row r="134" spans="1:12" ht="13.8" customHeight="1" x14ac:dyDescent="0.3">
      <c r="A134" s="442">
        <f t="shared" si="1"/>
        <v>0</v>
      </c>
      <c r="B134" s="453"/>
      <c r="C134" s="454"/>
      <c r="D134" s="452"/>
      <c r="E134" s="447"/>
      <c r="F134" s="447"/>
      <c r="G134" s="452"/>
      <c r="H134" s="452"/>
      <c r="I134" s="454"/>
      <c r="J134" s="454"/>
      <c r="K134" s="454"/>
      <c r="L134" s="452"/>
    </row>
    <row r="135" spans="1:12" ht="13.8" customHeight="1" x14ac:dyDescent="0.3">
      <c r="A135" s="442">
        <f t="shared" si="1"/>
        <v>0</v>
      </c>
      <c r="B135" s="453"/>
      <c r="C135" s="454"/>
      <c r="D135" s="452"/>
      <c r="E135" s="447"/>
      <c r="F135" s="447"/>
      <c r="G135" s="452"/>
      <c r="H135" s="452"/>
      <c r="I135" s="454"/>
      <c r="J135" s="454"/>
      <c r="K135" s="454"/>
      <c r="L135" s="452"/>
    </row>
    <row r="136" spans="1:12" ht="13.8" customHeight="1" x14ac:dyDescent="0.3">
      <c r="A136" s="442">
        <f t="shared" si="1"/>
        <v>0</v>
      </c>
      <c r="B136" s="453"/>
      <c r="C136" s="454"/>
      <c r="D136" s="452"/>
      <c r="E136" s="447"/>
      <c r="F136" s="447"/>
      <c r="G136" s="452"/>
      <c r="H136" s="452"/>
      <c r="I136" s="454"/>
      <c r="J136" s="454"/>
      <c r="K136" s="454"/>
      <c r="L136" s="452"/>
    </row>
    <row r="137" spans="1:12" ht="13.8" customHeight="1" x14ac:dyDescent="0.3">
      <c r="A137" s="442">
        <f t="shared" si="1"/>
        <v>0</v>
      </c>
      <c r="B137" s="453"/>
      <c r="C137" s="454"/>
      <c r="D137" s="452"/>
      <c r="E137" s="447"/>
      <c r="F137" s="447"/>
      <c r="G137" s="452"/>
      <c r="H137" s="452"/>
      <c r="I137" s="454"/>
      <c r="J137" s="454"/>
      <c r="K137" s="454"/>
      <c r="L137" s="452"/>
    </row>
    <row r="138" spans="1:12" ht="13.8" customHeight="1" x14ac:dyDescent="0.3">
      <c r="A138" s="442">
        <f t="shared" si="1"/>
        <v>0</v>
      </c>
      <c r="B138" s="453"/>
      <c r="C138" s="454"/>
      <c r="D138" s="452"/>
      <c r="E138" s="447"/>
      <c r="F138" s="447"/>
      <c r="G138" s="452"/>
      <c r="H138" s="452"/>
      <c r="I138" s="454"/>
      <c r="J138" s="454"/>
      <c r="K138" s="452"/>
      <c r="L138" s="452"/>
    </row>
    <row r="139" spans="1:12" ht="13.8" customHeight="1" x14ac:dyDescent="0.3">
      <c r="A139" s="442">
        <f t="shared" si="1"/>
        <v>0</v>
      </c>
      <c r="B139" s="453"/>
      <c r="C139" s="454"/>
      <c r="D139" s="452"/>
      <c r="E139" s="447"/>
      <c r="F139" s="447"/>
      <c r="G139" s="452"/>
      <c r="H139" s="452"/>
      <c r="I139" s="454"/>
      <c r="J139" s="454"/>
      <c r="K139" s="454"/>
      <c r="L139" s="452"/>
    </row>
    <row r="140" spans="1:12" ht="13.8" customHeight="1" x14ac:dyDescent="0.3">
      <c r="A140" s="442">
        <f t="shared" si="1"/>
        <v>0</v>
      </c>
      <c r="B140" s="453"/>
      <c r="C140" s="454"/>
      <c r="D140" s="452"/>
      <c r="E140" s="447"/>
      <c r="F140" s="447"/>
      <c r="G140" s="452"/>
      <c r="H140" s="452"/>
      <c r="I140" s="454"/>
      <c r="J140" s="454"/>
      <c r="K140" s="454"/>
      <c r="L140" s="452"/>
    </row>
    <row r="141" spans="1:12" ht="13.8" customHeight="1" x14ac:dyDescent="0.3">
      <c r="A141" s="442">
        <f t="shared" si="1"/>
        <v>0</v>
      </c>
      <c r="B141" s="453"/>
      <c r="C141" s="454"/>
      <c r="D141" s="452"/>
      <c r="E141" s="447"/>
      <c r="F141" s="447"/>
      <c r="G141" s="452"/>
      <c r="H141" s="452"/>
      <c r="I141" s="454"/>
      <c r="J141" s="454"/>
      <c r="K141" s="455"/>
      <c r="L141" s="452"/>
    </row>
    <row r="142" spans="1:12" ht="13.8" customHeight="1" x14ac:dyDescent="0.3">
      <c r="A142" s="442">
        <f t="shared" si="1"/>
        <v>0</v>
      </c>
      <c r="B142" s="453"/>
      <c r="C142" s="454"/>
      <c r="D142" s="452"/>
      <c r="E142" s="447"/>
      <c r="F142" s="447"/>
      <c r="G142" s="452"/>
      <c r="H142" s="452"/>
      <c r="I142" s="454"/>
      <c r="J142" s="454"/>
      <c r="K142" s="454"/>
      <c r="L142" s="452"/>
    </row>
    <row r="143" spans="1:12" ht="13.8" customHeight="1" x14ac:dyDescent="0.3">
      <c r="A143" s="442">
        <f t="shared" ref="A143:A206" si="2">IF(D143="",0,SUBSTITUTE(LOWER(D143),"km","")+0)</f>
        <v>0</v>
      </c>
      <c r="B143" s="453"/>
      <c r="C143" s="454"/>
      <c r="D143" s="452"/>
      <c r="E143" s="447"/>
      <c r="F143" s="447"/>
      <c r="G143" s="452"/>
      <c r="H143" s="452"/>
      <c r="I143" s="454"/>
      <c r="J143" s="454"/>
      <c r="K143" s="454"/>
      <c r="L143" s="452"/>
    </row>
    <row r="144" spans="1:12" ht="13.8" customHeight="1" x14ac:dyDescent="0.3">
      <c r="A144" s="442">
        <f t="shared" si="2"/>
        <v>0</v>
      </c>
      <c r="B144" s="453"/>
      <c r="C144" s="454"/>
      <c r="D144" s="452"/>
      <c r="E144" s="447"/>
      <c r="F144" s="447"/>
      <c r="G144" s="452"/>
      <c r="H144" s="452"/>
      <c r="I144" s="454"/>
      <c r="J144" s="454"/>
      <c r="K144" s="454"/>
      <c r="L144" s="452"/>
    </row>
    <row r="145" spans="1:12" ht="13.8" customHeight="1" x14ac:dyDescent="0.3">
      <c r="A145" s="442">
        <f t="shared" si="2"/>
        <v>0</v>
      </c>
      <c r="B145" s="453"/>
      <c r="C145" s="454"/>
      <c r="D145" s="452"/>
      <c r="E145" s="447"/>
      <c r="F145" s="447"/>
      <c r="G145" s="452"/>
      <c r="H145" s="452"/>
      <c r="I145" s="454"/>
      <c r="J145" s="454"/>
      <c r="K145" s="454"/>
      <c r="L145" s="452"/>
    </row>
    <row r="146" spans="1:12" ht="13.8" customHeight="1" x14ac:dyDescent="0.3">
      <c r="A146" s="442">
        <f t="shared" si="2"/>
        <v>0</v>
      </c>
      <c r="B146" s="453"/>
      <c r="C146" s="454"/>
      <c r="D146" s="452"/>
      <c r="E146" s="447"/>
      <c r="F146" s="447"/>
      <c r="G146" s="452"/>
      <c r="H146" s="452"/>
      <c r="I146" s="454"/>
      <c r="J146" s="454"/>
      <c r="K146" s="454"/>
      <c r="L146" s="452"/>
    </row>
    <row r="147" spans="1:12" ht="13.8" customHeight="1" x14ac:dyDescent="0.3">
      <c r="A147" s="442">
        <f t="shared" si="2"/>
        <v>0</v>
      </c>
      <c r="B147" s="453"/>
      <c r="C147" s="454"/>
      <c r="D147" s="452"/>
      <c r="E147" s="447"/>
      <c r="F147" s="447"/>
      <c r="G147" s="452"/>
      <c r="H147" s="452"/>
      <c r="I147" s="454"/>
      <c r="J147" s="454"/>
      <c r="K147" s="452"/>
      <c r="L147" s="452"/>
    </row>
    <row r="148" spans="1:12" ht="13.8" customHeight="1" x14ac:dyDescent="0.3">
      <c r="A148" s="442">
        <f t="shared" si="2"/>
        <v>0</v>
      </c>
      <c r="B148" s="453"/>
      <c r="C148" s="454"/>
      <c r="D148" s="452"/>
      <c r="E148" s="447"/>
      <c r="F148" s="447"/>
      <c r="G148" s="452"/>
      <c r="H148" s="452"/>
      <c r="I148" s="454"/>
      <c r="J148" s="454"/>
      <c r="K148" s="454"/>
      <c r="L148" s="452"/>
    </row>
    <row r="149" spans="1:12" ht="13.8" customHeight="1" x14ac:dyDescent="0.3">
      <c r="A149" s="442">
        <f t="shared" si="2"/>
        <v>0</v>
      </c>
      <c r="B149" s="453"/>
      <c r="C149" s="454"/>
      <c r="D149" s="452"/>
      <c r="E149" s="447"/>
      <c r="F149" s="447"/>
      <c r="G149" s="452"/>
      <c r="H149" s="452"/>
      <c r="I149" s="454"/>
      <c r="J149" s="454"/>
      <c r="K149" s="454"/>
      <c r="L149" s="452"/>
    </row>
    <row r="150" spans="1:12" ht="13.8" customHeight="1" x14ac:dyDescent="0.3">
      <c r="A150" s="442">
        <f t="shared" si="2"/>
        <v>0</v>
      </c>
      <c r="B150" s="453"/>
      <c r="C150" s="454"/>
      <c r="D150" s="452"/>
      <c r="E150" s="447"/>
      <c r="F150" s="447"/>
      <c r="G150" s="452"/>
      <c r="H150" s="452"/>
      <c r="I150" s="454"/>
      <c r="J150" s="454"/>
      <c r="K150" s="454"/>
      <c r="L150" s="452"/>
    </row>
    <row r="151" spans="1:12" ht="13.8" customHeight="1" x14ac:dyDescent="0.3">
      <c r="A151" s="442">
        <f t="shared" si="2"/>
        <v>0</v>
      </c>
      <c r="B151" s="453"/>
      <c r="C151" s="454"/>
      <c r="D151" s="452"/>
      <c r="E151" s="447"/>
      <c r="F151" s="447"/>
      <c r="G151" s="452"/>
      <c r="H151" s="452"/>
      <c r="I151" s="454"/>
      <c r="J151" s="454"/>
      <c r="K151" s="454"/>
      <c r="L151" s="452"/>
    </row>
    <row r="152" spans="1:12" ht="13.8" customHeight="1" x14ac:dyDescent="0.3">
      <c r="A152" s="442">
        <f t="shared" si="2"/>
        <v>0</v>
      </c>
      <c r="B152" s="453"/>
      <c r="C152" s="454"/>
      <c r="D152" s="452"/>
      <c r="E152" s="447"/>
      <c r="F152" s="447"/>
      <c r="G152" s="452"/>
      <c r="H152" s="452"/>
      <c r="I152" s="454"/>
      <c r="J152" s="454"/>
      <c r="K152" s="454"/>
      <c r="L152" s="452"/>
    </row>
    <row r="153" spans="1:12" ht="13.8" customHeight="1" x14ac:dyDescent="0.3">
      <c r="A153" s="442">
        <f t="shared" si="2"/>
        <v>0</v>
      </c>
      <c r="B153" s="453"/>
      <c r="C153" s="454"/>
      <c r="D153" s="452"/>
      <c r="E153" s="447"/>
      <c r="F153" s="447"/>
      <c r="G153" s="452"/>
      <c r="H153" s="452"/>
      <c r="I153" s="454"/>
      <c r="J153" s="454"/>
      <c r="K153" s="452"/>
      <c r="L153" s="452"/>
    </row>
    <row r="154" spans="1:12" ht="13.8" customHeight="1" x14ac:dyDescent="0.3">
      <c r="A154" s="442">
        <f t="shared" si="2"/>
        <v>0</v>
      </c>
      <c r="B154" s="453"/>
      <c r="C154" s="454"/>
      <c r="D154" s="452"/>
      <c r="E154" s="447"/>
      <c r="F154" s="447"/>
      <c r="G154" s="452"/>
      <c r="H154" s="452"/>
      <c r="I154" s="454"/>
      <c r="J154" s="454"/>
      <c r="K154" s="454"/>
      <c r="L154" s="452"/>
    </row>
    <row r="155" spans="1:12" ht="13.8" customHeight="1" x14ac:dyDescent="0.3">
      <c r="A155" s="442">
        <f t="shared" si="2"/>
        <v>0</v>
      </c>
      <c r="B155" s="453"/>
      <c r="C155" s="454"/>
      <c r="D155" s="452"/>
      <c r="E155" s="447"/>
      <c r="F155" s="447"/>
      <c r="G155" s="452"/>
      <c r="H155" s="452"/>
      <c r="I155" s="454"/>
      <c r="J155" s="454"/>
      <c r="K155" s="454"/>
      <c r="L155" s="452"/>
    </row>
    <row r="156" spans="1:12" ht="13.8" customHeight="1" x14ac:dyDescent="0.3">
      <c r="A156" s="442">
        <f t="shared" si="2"/>
        <v>0</v>
      </c>
      <c r="B156" s="453"/>
      <c r="C156" s="454"/>
      <c r="D156" s="452"/>
      <c r="E156" s="447"/>
      <c r="F156" s="447"/>
      <c r="G156" s="452"/>
      <c r="H156" s="452"/>
      <c r="I156" s="454"/>
      <c r="J156" s="454"/>
      <c r="K156" s="454"/>
      <c r="L156" s="452"/>
    </row>
    <row r="157" spans="1:12" ht="13.8" customHeight="1" x14ac:dyDescent="0.3">
      <c r="A157" s="442">
        <f t="shared" si="2"/>
        <v>0</v>
      </c>
      <c r="B157" s="453"/>
      <c r="C157" s="454"/>
      <c r="D157" s="452"/>
      <c r="E157" s="447"/>
      <c r="F157" s="447"/>
      <c r="G157" s="452"/>
      <c r="H157" s="452"/>
      <c r="I157" s="454"/>
      <c r="J157" s="454"/>
      <c r="K157" s="454"/>
      <c r="L157" s="452"/>
    </row>
    <row r="158" spans="1:12" ht="13.8" customHeight="1" x14ac:dyDescent="0.3">
      <c r="A158" s="442">
        <f t="shared" si="2"/>
        <v>0</v>
      </c>
      <c r="B158" s="453"/>
      <c r="C158" s="454"/>
      <c r="D158" s="452"/>
      <c r="E158" s="447"/>
      <c r="F158" s="447"/>
      <c r="G158" s="452"/>
      <c r="H158" s="452"/>
      <c r="I158" s="454"/>
      <c r="J158" s="454"/>
      <c r="K158" s="454"/>
      <c r="L158" s="452"/>
    </row>
    <row r="159" spans="1:12" ht="13.8" customHeight="1" x14ac:dyDescent="0.3">
      <c r="A159" s="442">
        <f t="shared" si="2"/>
        <v>0</v>
      </c>
      <c r="B159" s="453"/>
      <c r="C159" s="454"/>
      <c r="D159" s="452"/>
      <c r="E159" s="447"/>
      <c r="F159" s="447"/>
      <c r="G159" s="452"/>
      <c r="H159" s="452"/>
      <c r="I159" s="454"/>
      <c r="J159" s="454"/>
      <c r="K159" s="452"/>
      <c r="L159" s="452"/>
    </row>
    <row r="160" spans="1:12" ht="13.8" customHeight="1" x14ac:dyDescent="0.3">
      <c r="A160" s="442">
        <f t="shared" si="2"/>
        <v>0</v>
      </c>
      <c r="B160" s="453"/>
      <c r="C160" s="454"/>
      <c r="D160" s="452"/>
      <c r="E160" s="447"/>
      <c r="F160" s="447"/>
      <c r="G160" s="452"/>
      <c r="H160" s="452"/>
      <c r="I160" s="454"/>
      <c r="J160" s="454"/>
      <c r="K160" s="454"/>
      <c r="L160" s="452"/>
    </row>
    <row r="161" spans="1:12" ht="13.8" customHeight="1" x14ac:dyDescent="0.3">
      <c r="A161" s="442">
        <f t="shared" si="2"/>
        <v>0</v>
      </c>
      <c r="B161" s="453"/>
      <c r="C161" s="454"/>
      <c r="D161" s="452"/>
      <c r="E161" s="447"/>
      <c r="F161" s="447"/>
      <c r="G161" s="452"/>
      <c r="H161" s="452"/>
      <c r="I161" s="454"/>
      <c r="J161" s="454"/>
      <c r="K161" s="454"/>
      <c r="L161" s="452"/>
    </row>
    <row r="162" spans="1:12" ht="13.8" customHeight="1" x14ac:dyDescent="0.3">
      <c r="A162" s="442">
        <f t="shared" si="2"/>
        <v>0</v>
      </c>
      <c r="B162" s="453"/>
      <c r="C162" s="454"/>
      <c r="D162" s="452"/>
      <c r="E162" s="447"/>
      <c r="F162" s="447"/>
      <c r="G162" s="452"/>
      <c r="H162" s="452"/>
      <c r="I162" s="454"/>
      <c r="J162" s="454"/>
      <c r="K162" s="454"/>
      <c r="L162" s="452"/>
    </row>
    <row r="163" spans="1:12" ht="13.8" customHeight="1" x14ac:dyDescent="0.3">
      <c r="A163" s="442">
        <f t="shared" si="2"/>
        <v>0</v>
      </c>
      <c r="B163" s="453"/>
      <c r="C163" s="454"/>
      <c r="D163" s="452"/>
      <c r="E163" s="447"/>
      <c r="F163" s="447"/>
      <c r="G163" s="452"/>
      <c r="H163" s="452"/>
      <c r="I163" s="454"/>
      <c r="J163" s="454"/>
      <c r="K163" s="454"/>
      <c r="L163" s="452"/>
    </row>
    <row r="164" spans="1:12" ht="13.8" customHeight="1" x14ac:dyDescent="0.3">
      <c r="A164" s="442">
        <f t="shared" si="2"/>
        <v>0</v>
      </c>
      <c r="B164" s="453"/>
      <c r="C164" s="454"/>
      <c r="D164" s="452"/>
      <c r="E164" s="447"/>
      <c r="F164" s="447"/>
      <c r="G164" s="452"/>
      <c r="H164" s="452"/>
      <c r="I164" s="454"/>
      <c r="J164" s="454"/>
      <c r="K164" s="454"/>
      <c r="L164" s="452"/>
    </row>
    <row r="165" spans="1:12" ht="13.8" customHeight="1" x14ac:dyDescent="0.3">
      <c r="A165" s="442">
        <f t="shared" si="2"/>
        <v>0</v>
      </c>
      <c r="B165" s="453"/>
      <c r="C165" s="454"/>
      <c r="D165" s="452"/>
      <c r="E165" s="447"/>
      <c r="F165" s="447"/>
      <c r="G165" s="452"/>
      <c r="H165" s="452"/>
      <c r="I165" s="454"/>
      <c r="J165" s="454"/>
      <c r="K165" s="454"/>
      <c r="L165" s="452"/>
    </row>
    <row r="166" spans="1:12" ht="13.8" customHeight="1" x14ac:dyDescent="0.3">
      <c r="A166" s="442">
        <f t="shared" si="2"/>
        <v>0</v>
      </c>
      <c r="B166" s="453"/>
      <c r="C166" s="454"/>
      <c r="D166" s="452"/>
      <c r="E166" s="447"/>
      <c r="F166" s="447"/>
      <c r="G166" s="452"/>
      <c r="H166" s="452"/>
      <c r="I166" s="454"/>
      <c r="J166" s="454"/>
      <c r="K166" s="454"/>
      <c r="L166" s="452"/>
    </row>
    <row r="167" spans="1:12" ht="13.8" customHeight="1" x14ac:dyDescent="0.3">
      <c r="A167" s="442">
        <f t="shared" si="2"/>
        <v>0</v>
      </c>
      <c r="B167" s="444"/>
      <c r="C167" s="445"/>
      <c r="D167" s="446"/>
      <c r="E167" s="447"/>
      <c r="F167" s="447"/>
      <c r="G167" s="445"/>
      <c r="H167" s="446"/>
      <c r="I167" s="445"/>
      <c r="J167" s="445"/>
      <c r="K167" s="445"/>
      <c r="L167" s="446"/>
    </row>
    <row r="168" spans="1:12" ht="13.8" customHeight="1" x14ac:dyDescent="0.3">
      <c r="A168" s="442">
        <f t="shared" si="2"/>
        <v>0</v>
      </c>
      <c r="B168" s="444"/>
      <c r="C168" s="445"/>
      <c r="D168" s="446"/>
      <c r="E168" s="447"/>
      <c r="F168" s="447"/>
      <c r="G168" s="449"/>
      <c r="H168" s="446"/>
      <c r="I168" s="445"/>
      <c r="J168" s="445"/>
      <c r="K168" s="445"/>
      <c r="L168" s="446"/>
    </row>
    <row r="169" spans="1:12" ht="13.8" customHeight="1" x14ac:dyDescent="0.3">
      <c r="A169" s="442">
        <f t="shared" si="2"/>
        <v>0</v>
      </c>
      <c r="B169" s="444"/>
      <c r="C169" s="445"/>
      <c r="D169" s="446"/>
      <c r="E169" s="447"/>
      <c r="F169" s="447"/>
      <c r="G169" s="445"/>
      <c r="H169" s="446"/>
      <c r="I169" s="445"/>
      <c r="J169" s="445"/>
      <c r="K169" s="445"/>
      <c r="L169" s="446"/>
    </row>
    <row r="170" spans="1:12" x14ac:dyDescent="0.3">
      <c r="A170" s="442">
        <f t="shared" si="2"/>
        <v>0</v>
      </c>
      <c r="B170" s="453"/>
      <c r="C170" s="454"/>
      <c r="D170" s="452"/>
      <c r="E170" s="454"/>
      <c r="F170" s="454"/>
      <c r="G170" s="452"/>
      <c r="H170" s="452"/>
      <c r="I170" s="454"/>
      <c r="J170" s="454"/>
      <c r="K170" s="452"/>
      <c r="L170" s="452"/>
    </row>
    <row r="171" spans="1:12" x14ac:dyDescent="0.3">
      <c r="A171" s="442">
        <f t="shared" si="2"/>
        <v>0</v>
      </c>
      <c r="B171" s="453"/>
      <c r="C171" s="454"/>
      <c r="D171" s="452"/>
      <c r="E171" s="454"/>
      <c r="F171" s="454"/>
      <c r="G171" s="452"/>
      <c r="H171" s="452"/>
      <c r="I171" s="454"/>
      <c r="J171" s="454"/>
      <c r="K171" s="454"/>
      <c r="L171" s="452"/>
    </row>
    <row r="172" spans="1:12" x14ac:dyDescent="0.3">
      <c r="A172" s="442">
        <f t="shared" si="2"/>
        <v>0</v>
      </c>
      <c r="B172" s="453"/>
      <c r="C172" s="454"/>
      <c r="D172" s="452"/>
      <c r="E172" s="454"/>
      <c r="F172" s="454"/>
      <c r="G172" s="452"/>
      <c r="H172" s="452"/>
      <c r="I172" s="454"/>
      <c r="J172" s="454"/>
      <c r="K172" s="454"/>
      <c r="L172" s="452"/>
    </row>
    <row r="173" spans="1:12" x14ac:dyDescent="0.3">
      <c r="A173" s="442">
        <f t="shared" si="2"/>
        <v>0</v>
      </c>
      <c r="B173" s="453"/>
      <c r="C173" s="454"/>
      <c r="D173" s="452"/>
      <c r="E173" s="454"/>
      <c r="F173" s="454"/>
      <c r="G173" s="452"/>
      <c r="H173" s="452"/>
      <c r="I173" s="454"/>
      <c r="J173" s="454"/>
      <c r="K173" s="452"/>
      <c r="L173" s="452"/>
    </row>
    <row r="174" spans="1:12" x14ac:dyDescent="0.3">
      <c r="A174" s="442">
        <f t="shared" si="2"/>
        <v>0</v>
      </c>
      <c r="B174" s="453"/>
      <c r="C174" s="454"/>
      <c r="D174" s="452"/>
      <c r="E174" s="454"/>
      <c r="F174" s="454"/>
      <c r="G174" s="452"/>
      <c r="H174" s="452"/>
      <c r="I174" s="454"/>
      <c r="J174" s="454"/>
      <c r="K174" s="454"/>
      <c r="L174" s="452"/>
    </row>
    <row r="175" spans="1:12" x14ac:dyDescent="0.3">
      <c r="A175" s="442">
        <f t="shared" si="2"/>
        <v>0</v>
      </c>
      <c r="B175" s="453"/>
      <c r="C175" s="454"/>
      <c r="D175" s="452"/>
      <c r="E175" s="454"/>
      <c r="F175" s="454"/>
      <c r="G175" s="452"/>
      <c r="H175" s="452"/>
      <c r="I175" s="454"/>
      <c r="J175" s="454"/>
      <c r="K175" s="454"/>
      <c r="L175" s="452"/>
    </row>
    <row r="176" spans="1:12" x14ac:dyDescent="0.3">
      <c r="A176" s="442">
        <f t="shared" si="2"/>
        <v>0</v>
      </c>
      <c r="B176" s="453"/>
      <c r="C176" s="454"/>
      <c r="D176" s="452"/>
      <c r="E176" s="454"/>
      <c r="F176" s="454"/>
      <c r="G176" s="452"/>
      <c r="H176" s="452"/>
      <c r="I176" s="454"/>
      <c r="J176" s="454"/>
      <c r="K176" s="454"/>
      <c r="L176" s="452"/>
    </row>
    <row r="177" spans="1:12" x14ac:dyDescent="0.3">
      <c r="A177" s="442">
        <f t="shared" si="2"/>
        <v>0</v>
      </c>
      <c r="B177" s="453"/>
      <c r="C177" s="454"/>
      <c r="D177" s="452"/>
      <c r="E177" s="454"/>
      <c r="F177" s="454"/>
      <c r="G177" s="452"/>
      <c r="H177" s="452"/>
      <c r="I177" s="454"/>
      <c r="J177" s="454"/>
      <c r="K177" s="454"/>
      <c r="L177" s="452"/>
    </row>
    <row r="178" spans="1:12" x14ac:dyDescent="0.3">
      <c r="A178" s="442">
        <f t="shared" si="2"/>
        <v>0</v>
      </c>
      <c r="B178" s="453"/>
      <c r="C178" s="454"/>
      <c r="D178" s="452"/>
      <c r="E178" s="454"/>
      <c r="F178" s="454"/>
      <c r="G178" s="452"/>
      <c r="H178" s="452"/>
      <c r="I178" s="454"/>
      <c r="J178" s="454"/>
      <c r="K178" s="454"/>
      <c r="L178" s="452"/>
    </row>
    <row r="179" spans="1:12" x14ac:dyDescent="0.3">
      <c r="A179" s="442">
        <f t="shared" si="2"/>
        <v>0</v>
      </c>
      <c r="B179" s="453"/>
      <c r="C179" s="454"/>
      <c r="D179" s="452"/>
      <c r="E179" s="454"/>
      <c r="F179" s="454"/>
      <c r="G179" s="452"/>
      <c r="H179" s="452"/>
      <c r="I179" s="454"/>
      <c r="J179" s="454"/>
      <c r="K179" s="454"/>
      <c r="L179" s="452"/>
    </row>
    <row r="180" spans="1:12" x14ac:dyDescent="0.3">
      <c r="A180" s="442">
        <f t="shared" si="2"/>
        <v>0</v>
      </c>
      <c r="B180" s="453"/>
      <c r="C180" s="454"/>
      <c r="D180" s="452"/>
      <c r="E180" s="454"/>
      <c r="F180" s="454"/>
      <c r="G180" s="452"/>
      <c r="H180" s="452"/>
      <c r="I180" s="454"/>
      <c r="J180" s="454"/>
      <c r="K180" s="454"/>
      <c r="L180" s="452"/>
    </row>
    <row r="181" spans="1:12" x14ac:dyDescent="0.3">
      <c r="A181" s="442">
        <f t="shared" si="2"/>
        <v>0</v>
      </c>
      <c r="B181" s="453"/>
      <c r="C181" s="454"/>
      <c r="D181" s="452"/>
      <c r="E181" s="454"/>
      <c r="F181" s="454"/>
      <c r="G181" s="452"/>
      <c r="H181" s="452"/>
      <c r="I181" s="454"/>
      <c r="J181" s="454"/>
      <c r="K181" s="454"/>
      <c r="L181" s="452"/>
    </row>
    <row r="182" spans="1:12" x14ac:dyDescent="0.3">
      <c r="A182" s="442">
        <f t="shared" si="2"/>
        <v>0</v>
      </c>
      <c r="B182" s="453"/>
      <c r="C182" s="454"/>
      <c r="D182" s="452"/>
      <c r="E182" s="454"/>
      <c r="F182" s="454"/>
      <c r="G182" s="452"/>
      <c r="H182" s="452"/>
      <c r="I182" s="454"/>
      <c r="J182" s="454"/>
      <c r="K182" s="454"/>
      <c r="L182" s="452"/>
    </row>
    <row r="183" spans="1:12" x14ac:dyDescent="0.3">
      <c r="A183" s="442">
        <f t="shared" si="2"/>
        <v>0</v>
      </c>
      <c r="B183" s="453"/>
      <c r="C183" s="454"/>
      <c r="D183" s="452"/>
      <c r="E183" s="454"/>
      <c r="F183" s="454"/>
      <c r="G183" s="452"/>
      <c r="H183" s="452"/>
      <c r="I183" s="454"/>
      <c r="J183" s="454"/>
      <c r="K183" s="452"/>
      <c r="L183" s="452"/>
    </row>
    <row r="184" spans="1:12" x14ac:dyDescent="0.3">
      <c r="A184" s="442">
        <f t="shared" si="2"/>
        <v>0</v>
      </c>
      <c r="B184" s="453"/>
      <c r="C184" s="454"/>
      <c r="D184" s="452"/>
      <c r="E184" s="454"/>
      <c r="F184" s="454"/>
      <c r="G184" s="452"/>
      <c r="H184" s="452"/>
      <c r="I184" s="454"/>
      <c r="J184" s="454"/>
      <c r="K184" s="454"/>
      <c r="L184" s="452"/>
    </row>
    <row r="185" spans="1:12" x14ac:dyDescent="0.3">
      <c r="A185" s="442">
        <f t="shared" si="2"/>
        <v>0</v>
      </c>
      <c r="B185" s="453"/>
      <c r="C185" s="454"/>
      <c r="D185" s="452"/>
      <c r="E185" s="454"/>
      <c r="F185" s="454"/>
      <c r="G185" s="452"/>
      <c r="H185" s="452"/>
      <c r="I185" s="454"/>
      <c r="J185" s="454"/>
      <c r="K185" s="454"/>
      <c r="L185" s="452"/>
    </row>
    <row r="186" spans="1:12" x14ac:dyDescent="0.3">
      <c r="A186" s="442">
        <f t="shared" si="2"/>
        <v>0</v>
      </c>
      <c r="B186" s="453"/>
      <c r="C186" s="454"/>
      <c r="D186" s="452"/>
      <c r="E186" s="454"/>
      <c r="F186" s="454"/>
      <c r="G186" s="452"/>
      <c r="H186" s="452"/>
      <c r="I186" s="454"/>
      <c r="J186" s="454"/>
      <c r="K186" s="454"/>
      <c r="L186" s="452"/>
    </row>
    <row r="187" spans="1:12" x14ac:dyDescent="0.3">
      <c r="A187" s="442">
        <f t="shared" si="2"/>
        <v>0</v>
      </c>
      <c r="B187" s="453"/>
      <c r="C187" s="454"/>
      <c r="D187" s="452"/>
      <c r="E187" s="454"/>
      <c r="F187" s="454"/>
      <c r="G187" s="452"/>
      <c r="H187" s="452"/>
      <c r="I187" s="454"/>
      <c r="J187" s="454"/>
      <c r="K187" s="454"/>
      <c r="L187" s="452"/>
    </row>
    <row r="188" spans="1:12" x14ac:dyDescent="0.3">
      <c r="A188" s="442">
        <f t="shared" si="2"/>
        <v>0</v>
      </c>
      <c r="B188" s="453"/>
      <c r="C188" s="454"/>
      <c r="D188" s="452"/>
      <c r="E188" s="454"/>
      <c r="F188" s="454"/>
      <c r="G188" s="452"/>
      <c r="H188" s="452"/>
      <c r="I188" s="454"/>
      <c r="J188" s="454"/>
      <c r="K188" s="454"/>
      <c r="L188" s="452"/>
    </row>
    <row r="189" spans="1:12" ht="18" customHeight="1" x14ac:dyDescent="0.3">
      <c r="A189" s="442">
        <f t="shared" si="2"/>
        <v>0</v>
      </c>
      <c r="B189" s="453"/>
      <c r="C189" s="454"/>
      <c r="D189" s="452"/>
      <c r="E189" s="454"/>
      <c r="F189" s="454"/>
      <c r="G189" s="452"/>
      <c r="H189" s="452"/>
      <c r="I189" s="454"/>
      <c r="J189" s="454"/>
      <c r="K189" s="454"/>
      <c r="L189" s="452"/>
    </row>
    <row r="190" spans="1:12" ht="18" customHeight="1" x14ac:dyDescent="0.3">
      <c r="A190" s="442">
        <f t="shared" si="2"/>
        <v>0</v>
      </c>
      <c r="B190" s="453"/>
      <c r="C190" s="454"/>
      <c r="D190" s="452"/>
      <c r="E190" s="454"/>
      <c r="F190" s="454"/>
      <c r="G190" s="452"/>
      <c r="H190" s="452"/>
      <c r="I190" s="454"/>
      <c r="J190" s="454"/>
      <c r="K190" s="452"/>
      <c r="L190" s="452"/>
    </row>
    <row r="191" spans="1:12" ht="18" customHeight="1" x14ac:dyDescent="0.3">
      <c r="A191" s="442">
        <f t="shared" si="2"/>
        <v>0</v>
      </c>
      <c r="B191" s="453"/>
      <c r="C191" s="454"/>
      <c r="D191" s="452"/>
      <c r="E191" s="454"/>
      <c r="F191" s="454"/>
      <c r="G191" s="452"/>
      <c r="H191" s="452"/>
      <c r="I191" s="454"/>
      <c r="J191" s="454"/>
      <c r="K191" s="454"/>
      <c r="L191" s="452"/>
    </row>
    <row r="192" spans="1:12" ht="18" customHeight="1" x14ac:dyDescent="0.3">
      <c r="A192" s="442">
        <f t="shared" si="2"/>
        <v>0</v>
      </c>
      <c r="B192" s="453"/>
      <c r="C192" s="454"/>
      <c r="D192" s="452"/>
      <c r="E192" s="454"/>
      <c r="F192" s="454"/>
      <c r="G192" s="452"/>
      <c r="H192" s="452"/>
      <c r="I192" s="454"/>
      <c r="J192" s="454"/>
      <c r="K192" s="454"/>
      <c r="L192" s="452"/>
    </row>
    <row r="193" spans="1:12" ht="18" customHeight="1" x14ac:dyDescent="0.3">
      <c r="A193" s="442">
        <f t="shared" si="2"/>
        <v>0</v>
      </c>
      <c r="B193" s="453"/>
      <c r="C193" s="454"/>
      <c r="D193" s="452"/>
      <c r="E193" s="454"/>
      <c r="F193" s="454"/>
      <c r="G193" s="452"/>
      <c r="H193" s="452"/>
      <c r="I193" s="454"/>
      <c r="J193" s="454"/>
      <c r="K193" s="454"/>
      <c r="L193" s="452"/>
    </row>
    <row r="194" spans="1:12" ht="18" customHeight="1" x14ac:dyDescent="0.3">
      <c r="A194" s="442">
        <f t="shared" si="2"/>
        <v>0</v>
      </c>
      <c r="B194" s="453"/>
      <c r="C194" s="454"/>
      <c r="D194" s="452"/>
      <c r="E194" s="454"/>
      <c r="F194" s="454"/>
      <c r="G194" s="452"/>
      <c r="H194" s="452"/>
      <c r="I194" s="454"/>
      <c r="J194" s="454"/>
      <c r="K194" s="454"/>
      <c r="L194" s="452"/>
    </row>
    <row r="195" spans="1:12" ht="18" customHeight="1" x14ac:dyDescent="0.3">
      <c r="A195" s="442">
        <f t="shared" si="2"/>
        <v>0</v>
      </c>
      <c r="B195" s="453"/>
      <c r="C195" s="454"/>
      <c r="D195" s="452"/>
      <c r="E195" s="454"/>
      <c r="F195" s="454"/>
      <c r="G195" s="452"/>
      <c r="H195" s="452"/>
      <c r="I195" s="454"/>
      <c r="J195" s="454"/>
      <c r="K195" s="454"/>
      <c r="L195" s="452"/>
    </row>
    <row r="196" spans="1:12" ht="18" customHeight="1" x14ac:dyDescent="0.3">
      <c r="A196" s="442">
        <f t="shared" si="2"/>
        <v>0</v>
      </c>
      <c r="B196" s="453"/>
      <c r="C196" s="454"/>
      <c r="D196" s="452"/>
      <c r="E196" s="454"/>
      <c r="F196" s="454"/>
      <c r="G196" s="452"/>
      <c r="H196" s="452"/>
      <c r="I196" s="454"/>
      <c r="J196" s="454"/>
      <c r="K196" s="454"/>
      <c r="L196" s="452"/>
    </row>
    <row r="197" spans="1:12" ht="18" customHeight="1" x14ac:dyDescent="0.3">
      <c r="A197" s="442">
        <f t="shared" si="2"/>
        <v>0</v>
      </c>
      <c r="B197" s="453"/>
      <c r="C197" s="454"/>
      <c r="D197" s="452"/>
      <c r="E197" s="454"/>
      <c r="F197" s="454"/>
      <c r="G197" s="452"/>
      <c r="H197" s="454"/>
      <c r="I197" s="452"/>
      <c r="J197" s="454"/>
      <c r="K197" s="454"/>
      <c r="L197" s="452"/>
    </row>
    <row r="198" spans="1:12" ht="18" customHeight="1" x14ac:dyDescent="0.3">
      <c r="A198" s="442">
        <f t="shared" si="2"/>
        <v>0</v>
      </c>
      <c r="B198" s="453"/>
      <c r="C198" s="454"/>
      <c r="D198" s="452"/>
      <c r="E198" s="454"/>
      <c r="F198" s="454"/>
      <c r="G198" s="452"/>
      <c r="H198" s="452"/>
      <c r="I198" s="454"/>
      <c r="J198" s="454"/>
      <c r="K198" s="454"/>
      <c r="L198" s="452"/>
    </row>
    <row r="199" spans="1:12" ht="18" customHeight="1" x14ac:dyDescent="0.3">
      <c r="A199" s="442">
        <f t="shared" si="2"/>
        <v>0</v>
      </c>
      <c r="B199" s="453"/>
      <c r="C199" s="454"/>
      <c r="D199" s="452"/>
      <c r="E199" s="454"/>
      <c r="F199" s="454"/>
      <c r="G199" s="452"/>
      <c r="H199" s="452"/>
      <c r="I199" s="454"/>
      <c r="J199" s="454"/>
      <c r="K199" s="454"/>
      <c r="L199" s="452"/>
    </row>
    <row r="200" spans="1:12" ht="18" customHeight="1" x14ac:dyDescent="0.3">
      <c r="A200" s="442">
        <f t="shared" si="2"/>
        <v>0</v>
      </c>
      <c r="B200" s="453"/>
      <c r="C200" s="454"/>
      <c r="D200" s="452"/>
      <c r="E200" s="454"/>
      <c r="F200" s="454"/>
      <c r="G200" s="452"/>
      <c r="H200" s="452"/>
      <c r="I200" s="454"/>
      <c r="J200" s="454"/>
      <c r="K200" s="454"/>
      <c r="L200" s="452"/>
    </row>
    <row r="201" spans="1:12" ht="18" customHeight="1" x14ac:dyDescent="0.3">
      <c r="A201" s="442">
        <f t="shared" si="2"/>
        <v>0</v>
      </c>
      <c r="B201" s="453"/>
      <c r="C201" s="454"/>
      <c r="D201" s="452"/>
      <c r="E201" s="454"/>
      <c r="F201" s="454"/>
      <c r="G201" s="452"/>
      <c r="H201" s="452"/>
      <c r="I201" s="454"/>
      <c r="J201" s="454"/>
      <c r="K201" s="452"/>
      <c r="L201" s="452"/>
    </row>
    <row r="202" spans="1:12" ht="18" customHeight="1" x14ac:dyDescent="0.3">
      <c r="A202" s="442">
        <f t="shared" si="2"/>
        <v>0</v>
      </c>
      <c r="B202" s="453"/>
      <c r="C202" s="454"/>
      <c r="D202" s="452"/>
      <c r="E202" s="454"/>
      <c r="F202" s="454"/>
      <c r="G202" s="452"/>
      <c r="H202" s="452"/>
      <c r="I202" s="454"/>
      <c r="J202" s="454"/>
      <c r="K202" s="454"/>
      <c r="L202" s="452"/>
    </row>
    <row r="203" spans="1:12" ht="19.2" customHeight="1" x14ac:dyDescent="0.3">
      <c r="A203" s="442">
        <f t="shared" si="2"/>
        <v>0</v>
      </c>
      <c r="B203" s="453"/>
      <c r="C203" s="454"/>
      <c r="D203" s="452"/>
      <c r="E203" s="454"/>
      <c r="F203" s="454"/>
      <c r="G203" s="452"/>
      <c r="H203" s="452"/>
      <c r="I203" s="454"/>
      <c r="J203" s="454"/>
      <c r="K203" s="454"/>
      <c r="L203" s="452"/>
    </row>
    <row r="204" spans="1:12" ht="19.2" customHeight="1" x14ac:dyDescent="0.3">
      <c r="A204" s="442">
        <f t="shared" si="2"/>
        <v>0</v>
      </c>
      <c r="B204" s="453"/>
      <c r="C204" s="454"/>
      <c r="D204" s="452"/>
      <c r="E204" s="454"/>
      <c r="F204" s="454"/>
      <c r="G204" s="452"/>
      <c r="H204" s="452"/>
      <c r="I204" s="454"/>
      <c r="J204" s="454"/>
      <c r="K204" s="454"/>
      <c r="L204" s="452"/>
    </row>
    <row r="205" spans="1:12" ht="19.2" customHeight="1" x14ac:dyDescent="0.3">
      <c r="A205" s="442">
        <f t="shared" si="2"/>
        <v>0</v>
      </c>
      <c r="B205" s="453"/>
      <c r="C205" s="454"/>
      <c r="D205" s="452"/>
      <c r="E205" s="454"/>
      <c r="F205" s="454"/>
      <c r="G205" s="452"/>
      <c r="H205" s="452"/>
      <c r="I205" s="454"/>
      <c r="J205" s="454"/>
      <c r="K205" s="454"/>
      <c r="L205" s="452"/>
    </row>
    <row r="206" spans="1:12" ht="19.2" customHeight="1" x14ac:dyDescent="0.3">
      <c r="A206" s="442">
        <f t="shared" si="2"/>
        <v>0</v>
      </c>
      <c r="B206" s="453"/>
      <c r="C206" s="454"/>
      <c r="D206" s="452"/>
      <c r="E206" s="454"/>
      <c r="F206" s="454"/>
      <c r="G206" s="452"/>
      <c r="H206" s="452"/>
      <c r="I206" s="454"/>
      <c r="J206" s="454"/>
      <c r="K206" s="454"/>
      <c r="L206" s="452"/>
    </row>
    <row r="207" spans="1:12" ht="19.2" customHeight="1" x14ac:dyDescent="0.3">
      <c r="A207" s="442">
        <f t="shared" ref="A207:A270" si="3">IF(D207="",0,SUBSTITUTE(LOWER(D207),"km","")+0)</f>
        <v>0</v>
      </c>
      <c r="B207" s="453"/>
      <c r="C207" s="454"/>
      <c r="D207" s="452"/>
      <c r="E207" s="454"/>
      <c r="F207" s="454"/>
      <c r="G207" s="452"/>
      <c r="H207" s="452"/>
      <c r="I207" s="454"/>
      <c r="J207" s="454"/>
      <c r="K207" s="452"/>
      <c r="L207" s="452"/>
    </row>
    <row r="208" spans="1:12" ht="19.2" customHeight="1" x14ac:dyDescent="0.3">
      <c r="A208" s="442">
        <f t="shared" si="3"/>
        <v>0</v>
      </c>
      <c r="B208" s="453"/>
      <c r="C208" s="454"/>
      <c r="D208" s="452"/>
      <c r="E208" s="454"/>
      <c r="F208" s="454"/>
      <c r="G208" s="452"/>
      <c r="H208" s="452"/>
      <c r="I208" s="454"/>
      <c r="J208" s="454"/>
      <c r="K208" s="454"/>
      <c r="L208" s="452"/>
    </row>
    <row r="209" spans="1:12" ht="19.2" customHeight="1" x14ac:dyDescent="0.3">
      <c r="A209" s="442">
        <f t="shared" si="3"/>
        <v>0</v>
      </c>
      <c r="B209" s="453"/>
      <c r="C209" s="454"/>
      <c r="D209" s="452"/>
      <c r="E209" s="454"/>
      <c r="F209" s="454"/>
      <c r="G209" s="452"/>
      <c r="H209" s="454"/>
      <c r="I209" s="454"/>
      <c r="J209" s="454"/>
      <c r="K209" s="454"/>
      <c r="L209" s="452"/>
    </row>
    <row r="210" spans="1:12" ht="19.2" customHeight="1" x14ac:dyDescent="0.3">
      <c r="A210" s="442">
        <f t="shared" si="3"/>
        <v>0</v>
      </c>
      <c r="B210" s="453"/>
      <c r="C210" s="454"/>
      <c r="D210" s="452"/>
      <c r="E210" s="454"/>
      <c r="F210" s="454"/>
      <c r="G210" s="452"/>
      <c r="H210" s="452"/>
      <c r="I210" s="454"/>
      <c r="J210" s="454"/>
      <c r="K210" s="454"/>
      <c r="L210" s="452"/>
    </row>
    <row r="211" spans="1:12" x14ac:dyDescent="0.3">
      <c r="A211" s="442">
        <f t="shared" si="3"/>
        <v>0</v>
      </c>
      <c r="B211" s="453"/>
      <c r="C211" s="454"/>
      <c r="D211" s="452"/>
      <c r="E211" s="454"/>
      <c r="F211" s="454"/>
      <c r="G211" s="452"/>
      <c r="H211" s="452"/>
      <c r="I211" s="454"/>
      <c r="J211" s="454"/>
      <c r="K211" s="454"/>
      <c r="L211" s="452"/>
    </row>
    <row r="212" spans="1:12" x14ac:dyDescent="0.3">
      <c r="A212" s="442">
        <f t="shared" si="3"/>
        <v>0</v>
      </c>
      <c r="B212" s="453"/>
      <c r="C212" s="454"/>
      <c r="D212" s="452"/>
      <c r="E212" s="454"/>
      <c r="F212" s="454"/>
      <c r="G212" s="452"/>
      <c r="H212" s="452"/>
      <c r="I212" s="454"/>
      <c r="J212" s="454"/>
      <c r="K212" s="454"/>
      <c r="L212" s="452"/>
    </row>
    <row r="213" spans="1:12" x14ac:dyDescent="0.3">
      <c r="A213" s="442">
        <f t="shared" si="3"/>
        <v>0</v>
      </c>
      <c r="B213" s="453"/>
      <c r="C213" s="454"/>
      <c r="D213" s="452"/>
      <c r="E213" s="454"/>
      <c r="F213" s="454"/>
      <c r="G213" s="452"/>
      <c r="H213" s="452"/>
      <c r="I213" s="454"/>
      <c r="J213" s="454"/>
      <c r="K213" s="454"/>
      <c r="L213" s="452"/>
    </row>
    <row r="214" spans="1:12" x14ac:dyDescent="0.3">
      <c r="A214" s="442">
        <f t="shared" si="3"/>
        <v>0</v>
      </c>
      <c r="B214" s="453"/>
      <c r="C214" s="454"/>
      <c r="D214" s="452"/>
      <c r="E214" s="454"/>
      <c r="F214" s="454"/>
      <c r="G214" s="452"/>
      <c r="H214" s="452"/>
      <c r="I214" s="454"/>
      <c r="J214" s="454"/>
      <c r="K214" s="454"/>
      <c r="L214" s="452"/>
    </row>
    <row r="215" spans="1:12" x14ac:dyDescent="0.3">
      <c r="A215" s="442">
        <f t="shared" si="3"/>
        <v>0</v>
      </c>
      <c r="B215" s="453"/>
      <c r="C215" s="454"/>
      <c r="D215" s="452"/>
      <c r="E215" s="454"/>
      <c r="F215" s="454"/>
      <c r="G215" s="452"/>
      <c r="H215" s="452"/>
      <c r="I215" s="454"/>
      <c r="J215" s="454"/>
      <c r="K215" s="454"/>
      <c r="L215" s="452"/>
    </row>
    <row r="216" spans="1:12" x14ac:dyDescent="0.3">
      <c r="A216" s="442">
        <f t="shared" si="3"/>
        <v>0</v>
      </c>
      <c r="B216" s="453"/>
      <c r="C216" s="454"/>
      <c r="D216" s="452"/>
      <c r="E216" s="454"/>
      <c r="F216" s="454"/>
      <c r="G216" s="452"/>
      <c r="H216" s="452"/>
      <c r="I216" s="454"/>
      <c r="J216" s="454"/>
      <c r="K216" s="454"/>
      <c r="L216" s="452"/>
    </row>
    <row r="217" spans="1:12" x14ac:dyDescent="0.3">
      <c r="A217" s="442">
        <f t="shared" si="3"/>
        <v>0</v>
      </c>
      <c r="B217" s="453"/>
      <c r="C217" s="454"/>
      <c r="D217" s="452"/>
      <c r="E217" s="454"/>
      <c r="F217" s="454"/>
      <c r="G217" s="452"/>
      <c r="H217" s="452"/>
      <c r="I217" s="454"/>
      <c r="J217" s="454"/>
      <c r="K217" s="454"/>
      <c r="L217" s="452"/>
    </row>
    <row r="218" spans="1:12" x14ac:dyDescent="0.3">
      <c r="A218" s="442">
        <f t="shared" si="3"/>
        <v>0</v>
      </c>
      <c r="B218" s="453"/>
      <c r="C218" s="454"/>
      <c r="D218" s="452"/>
      <c r="E218" s="454"/>
      <c r="F218" s="454"/>
      <c r="G218" s="452"/>
      <c r="H218" s="452"/>
      <c r="I218" s="454"/>
      <c r="J218" s="454"/>
      <c r="K218" s="454"/>
      <c r="L218" s="452"/>
    </row>
    <row r="219" spans="1:12" x14ac:dyDescent="0.3">
      <c r="A219" s="442">
        <f t="shared" si="3"/>
        <v>0</v>
      </c>
      <c r="B219" s="453"/>
      <c r="C219" s="454"/>
      <c r="D219" s="452"/>
      <c r="E219" s="454"/>
      <c r="F219" s="454"/>
      <c r="G219" s="452"/>
      <c r="H219" s="452"/>
      <c r="I219" s="454"/>
      <c r="J219" s="454"/>
      <c r="K219" s="454"/>
      <c r="L219" s="452"/>
    </row>
    <row r="220" spans="1:12" x14ac:dyDescent="0.3">
      <c r="A220" s="442">
        <f t="shared" si="3"/>
        <v>0</v>
      </c>
      <c r="B220" s="453"/>
      <c r="C220" s="454"/>
      <c r="D220" s="452"/>
      <c r="E220" s="454"/>
      <c r="F220" s="454"/>
      <c r="G220" s="452"/>
      <c r="H220" s="452"/>
      <c r="I220" s="454"/>
      <c r="J220" s="454"/>
      <c r="K220" s="454"/>
      <c r="L220" s="452"/>
    </row>
    <row r="221" spans="1:12" x14ac:dyDescent="0.3">
      <c r="A221" s="442">
        <f t="shared" si="3"/>
        <v>0</v>
      </c>
      <c r="B221" s="453"/>
      <c r="C221" s="454"/>
      <c r="D221" s="452"/>
      <c r="E221" s="454"/>
      <c r="F221" s="454"/>
      <c r="G221" s="452"/>
      <c r="H221" s="452"/>
      <c r="I221" s="454"/>
      <c r="J221" s="454"/>
      <c r="K221" s="454"/>
      <c r="L221" s="452"/>
    </row>
    <row r="222" spans="1:12" x14ac:dyDescent="0.3">
      <c r="A222" s="442">
        <f t="shared" si="3"/>
        <v>0</v>
      </c>
      <c r="B222" s="453"/>
      <c r="C222" s="454"/>
      <c r="D222" s="452"/>
      <c r="E222" s="454"/>
      <c r="F222" s="454"/>
      <c r="G222" s="452"/>
      <c r="H222" s="452"/>
      <c r="I222" s="454"/>
      <c r="J222" s="454"/>
      <c r="K222" s="454"/>
      <c r="L222" s="452"/>
    </row>
    <row r="223" spans="1:12" x14ac:dyDescent="0.3">
      <c r="A223" s="442">
        <f t="shared" si="3"/>
        <v>0</v>
      </c>
      <c r="B223" s="453"/>
      <c r="C223" s="454"/>
      <c r="D223" s="452"/>
      <c r="E223" s="454"/>
      <c r="F223" s="454"/>
      <c r="G223" s="452"/>
      <c r="H223" s="452"/>
      <c r="I223" s="454"/>
      <c r="J223" s="454"/>
      <c r="K223" s="452"/>
      <c r="L223" s="452"/>
    </row>
    <row r="224" spans="1:12" x14ac:dyDescent="0.3">
      <c r="A224" s="442">
        <f t="shared" si="3"/>
        <v>0</v>
      </c>
      <c r="B224" s="453"/>
      <c r="C224" s="454"/>
      <c r="D224" s="452"/>
      <c r="E224" s="454"/>
      <c r="F224" s="454"/>
      <c r="G224" s="452"/>
      <c r="H224" s="452"/>
      <c r="I224" s="454"/>
      <c r="J224" s="454"/>
      <c r="K224" s="454"/>
      <c r="L224" s="452"/>
    </row>
    <row r="225" spans="1:12" x14ac:dyDescent="0.3">
      <c r="A225" s="442">
        <f t="shared" si="3"/>
        <v>0</v>
      </c>
      <c r="B225" s="453"/>
      <c r="C225" s="454"/>
      <c r="D225" s="452"/>
      <c r="E225" s="454"/>
      <c r="F225" s="454"/>
      <c r="G225" s="452"/>
      <c r="H225" s="452"/>
      <c r="I225" s="454"/>
      <c r="J225" s="454"/>
      <c r="K225" s="454"/>
      <c r="L225" s="452"/>
    </row>
    <row r="226" spans="1:12" x14ac:dyDescent="0.3">
      <c r="A226" s="442">
        <f t="shared" si="3"/>
        <v>0</v>
      </c>
      <c r="B226" s="453"/>
      <c r="C226" s="454"/>
      <c r="D226" s="452"/>
      <c r="E226" s="454"/>
      <c r="F226" s="454"/>
      <c r="G226" s="452"/>
      <c r="H226" s="452"/>
      <c r="I226" s="454"/>
      <c r="J226" s="454"/>
      <c r="K226" s="454"/>
      <c r="L226" s="452"/>
    </row>
    <row r="227" spans="1:12" x14ac:dyDescent="0.3">
      <c r="A227" s="442">
        <f t="shared" si="3"/>
        <v>0</v>
      </c>
      <c r="B227" s="453"/>
      <c r="C227" s="454"/>
      <c r="D227" s="452"/>
      <c r="E227" s="454"/>
      <c r="F227" s="454"/>
      <c r="G227" s="452"/>
      <c r="H227" s="452"/>
      <c r="I227" s="454"/>
      <c r="J227" s="454"/>
      <c r="K227" s="454"/>
      <c r="L227" s="452"/>
    </row>
    <row r="228" spans="1:12" x14ac:dyDescent="0.3">
      <c r="A228" s="442">
        <f t="shared" si="3"/>
        <v>0</v>
      </c>
      <c r="B228" s="453"/>
      <c r="C228" s="454"/>
      <c r="D228" s="452"/>
      <c r="E228" s="454"/>
      <c r="F228" s="454"/>
      <c r="G228" s="452"/>
      <c r="H228" s="452"/>
      <c r="I228" s="454"/>
      <c r="J228" s="454"/>
      <c r="K228" s="454"/>
      <c r="L228" s="452"/>
    </row>
    <row r="229" spans="1:12" x14ac:dyDescent="0.3">
      <c r="A229" s="442">
        <f t="shared" si="3"/>
        <v>0</v>
      </c>
      <c r="B229" s="453"/>
      <c r="C229" s="454"/>
      <c r="D229" s="452"/>
      <c r="E229" s="454"/>
      <c r="F229" s="454"/>
      <c r="G229" s="452"/>
      <c r="H229" s="452"/>
      <c r="I229" s="454"/>
      <c r="J229" s="454"/>
      <c r="K229" s="454"/>
      <c r="L229" s="452"/>
    </row>
    <row r="230" spans="1:12" x14ac:dyDescent="0.3">
      <c r="A230" s="442">
        <f t="shared" si="3"/>
        <v>0</v>
      </c>
      <c r="B230" s="453"/>
      <c r="C230" s="454"/>
      <c r="D230" s="452"/>
      <c r="E230" s="454"/>
      <c r="F230" s="454"/>
      <c r="G230" s="452"/>
      <c r="H230" s="452"/>
      <c r="I230" s="454"/>
      <c r="J230" s="454"/>
      <c r="K230" s="454"/>
      <c r="L230" s="452"/>
    </row>
    <row r="231" spans="1:12" x14ac:dyDescent="0.3">
      <c r="A231" s="442">
        <f t="shared" si="3"/>
        <v>0</v>
      </c>
      <c r="B231" s="453"/>
      <c r="C231" s="454"/>
      <c r="D231" s="452"/>
      <c r="E231" s="454"/>
      <c r="F231" s="454"/>
      <c r="G231" s="452"/>
      <c r="H231" s="452"/>
      <c r="I231" s="454"/>
      <c r="J231" s="454"/>
      <c r="K231" s="452"/>
      <c r="L231" s="452"/>
    </row>
    <row r="232" spans="1:12" x14ac:dyDescent="0.3">
      <c r="A232" s="442">
        <f t="shared" si="3"/>
        <v>0</v>
      </c>
      <c r="B232" s="453"/>
      <c r="C232" s="454"/>
      <c r="D232" s="452"/>
      <c r="E232" s="454"/>
      <c r="F232" s="454"/>
      <c r="G232" s="452"/>
      <c r="H232" s="452"/>
      <c r="I232" s="454"/>
      <c r="J232" s="454"/>
      <c r="K232" s="454"/>
      <c r="L232" s="452"/>
    </row>
    <row r="233" spans="1:12" x14ac:dyDescent="0.3">
      <c r="A233" s="442">
        <f t="shared" si="3"/>
        <v>0</v>
      </c>
      <c r="B233" s="453"/>
      <c r="C233" s="454"/>
      <c r="D233" s="452"/>
      <c r="E233" s="454"/>
      <c r="F233" s="454"/>
      <c r="G233" s="452"/>
      <c r="H233" s="452"/>
      <c r="I233" s="454"/>
      <c r="J233" s="454"/>
      <c r="K233" s="454"/>
      <c r="L233" s="452"/>
    </row>
    <row r="234" spans="1:12" x14ac:dyDescent="0.3">
      <c r="A234" s="442">
        <f t="shared" si="3"/>
        <v>0</v>
      </c>
      <c r="B234" s="453"/>
      <c r="C234" s="454"/>
      <c r="D234" s="452"/>
      <c r="E234" s="454"/>
      <c r="F234" s="454"/>
      <c r="G234" s="452"/>
      <c r="H234" s="452"/>
      <c r="I234" s="454"/>
      <c r="J234" s="454"/>
      <c r="K234" s="454"/>
      <c r="L234" s="452"/>
    </row>
    <row r="235" spans="1:12" x14ac:dyDescent="0.3">
      <c r="A235" s="442">
        <f t="shared" si="3"/>
        <v>0</v>
      </c>
      <c r="B235" s="453"/>
      <c r="C235" s="454"/>
      <c r="D235" s="452"/>
      <c r="E235" s="454"/>
      <c r="F235" s="454"/>
      <c r="G235" s="452"/>
      <c r="H235" s="452"/>
      <c r="I235" s="454"/>
      <c r="J235" s="454"/>
      <c r="K235" s="454"/>
      <c r="L235" s="452"/>
    </row>
    <row r="236" spans="1:12" x14ac:dyDescent="0.3">
      <c r="A236" s="442">
        <f t="shared" si="3"/>
        <v>0</v>
      </c>
      <c r="B236" s="453"/>
      <c r="C236" s="454"/>
      <c r="D236" s="452"/>
      <c r="E236" s="454"/>
      <c r="F236" s="454"/>
      <c r="G236" s="452"/>
      <c r="H236" s="452"/>
      <c r="I236" s="454"/>
      <c r="J236" s="454"/>
      <c r="K236" s="454"/>
      <c r="L236" s="452"/>
    </row>
    <row r="237" spans="1:12" x14ac:dyDescent="0.3">
      <c r="A237" s="442">
        <f t="shared" si="3"/>
        <v>0</v>
      </c>
      <c r="B237" s="453"/>
      <c r="C237" s="454"/>
      <c r="D237" s="452"/>
      <c r="E237" s="454"/>
      <c r="F237" s="454"/>
      <c r="G237" s="452"/>
      <c r="H237" s="452"/>
      <c r="I237" s="454"/>
      <c r="J237" s="454"/>
      <c r="K237" s="454"/>
      <c r="L237" s="452"/>
    </row>
    <row r="238" spans="1:12" x14ac:dyDescent="0.3">
      <c r="A238" s="442">
        <f t="shared" si="3"/>
        <v>0</v>
      </c>
      <c r="B238" s="453"/>
      <c r="C238" s="454"/>
      <c r="D238" s="452"/>
      <c r="E238" s="454"/>
      <c r="F238" s="454"/>
      <c r="G238" s="452"/>
      <c r="H238" s="452"/>
      <c r="I238" s="454"/>
      <c r="J238" s="454"/>
      <c r="K238" s="454"/>
      <c r="L238" s="452"/>
    </row>
    <row r="239" spans="1:12" x14ac:dyDescent="0.3">
      <c r="A239" s="442">
        <f t="shared" si="3"/>
        <v>0</v>
      </c>
      <c r="B239" s="453"/>
      <c r="C239" s="454"/>
      <c r="D239" s="452"/>
      <c r="E239" s="454"/>
      <c r="F239" s="454"/>
      <c r="G239" s="452"/>
      <c r="H239" s="452"/>
      <c r="I239" s="454"/>
      <c r="J239" s="454"/>
      <c r="K239" s="454"/>
      <c r="L239" s="452"/>
    </row>
    <row r="240" spans="1:12" x14ac:dyDescent="0.3">
      <c r="A240" s="442">
        <f t="shared" si="3"/>
        <v>0</v>
      </c>
      <c r="B240" s="453"/>
      <c r="C240" s="454"/>
      <c r="D240" s="452"/>
      <c r="E240" s="454"/>
      <c r="F240" s="454"/>
      <c r="G240" s="452"/>
      <c r="H240" s="452"/>
      <c r="I240" s="454"/>
      <c r="J240" s="454"/>
      <c r="K240" s="454"/>
      <c r="L240" s="452"/>
    </row>
    <row r="241" spans="1:12" x14ac:dyDescent="0.3">
      <c r="A241" s="442">
        <f t="shared" si="3"/>
        <v>0</v>
      </c>
      <c r="B241" s="453"/>
      <c r="C241" s="454"/>
      <c r="D241" s="452"/>
      <c r="E241" s="454"/>
      <c r="F241" s="454"/>
      <c r="G241" s="452"/>
      <c r="H241" s="452"/>
      <c r="I241" s="454"/>
      <c r="J241" s="454"/>
      <c r="K241" s="454"/>
      <c r="L241" s="452"/>
    </row>
    <row r="242" spans="1:12" x14ac:dyDescent="0.3">
      <c r="A242" s="442">
        <f t="shared" si="3"/>
        <v>0</v>
      </c>
      <c r="B242" s="453"/>
      <c r="C242" s="454"/>
      <c r="D242" s="452"/>
      <c r="E242" s="454"/>
      <c r="F242" s="454"/>
      <c r="G242" s="452"/>
      <c r="H242" s="452"/>
      <c r="I242" s="454"/>
      <c r="J242" s="454"/>
      <c r="K242" s="454"/>
      <c r="L242" s="452"/>
    </row>
    <row r="243" spans="1:12" x14ac:dyDescent="0.3">
      <c r="A243" s="442">
        <f t="shared" si="3"/>
        <v>0</v>
      </c>
      <c r="B243" s="453"/>
      <c r="C243" s="454"/>
      <c r="D243" s="452"/>
      <c r="E243" s="454"/>
      <c r="F243" s="454"/>
      <c r="G243" s="452"/>
      <c r="H243" s="452"/>
      <c r="I243" s="454"/>
      <c r="J243" s="454"/>
      <c r="K243" s="454"/>
      <c r="L243" s="452"/>
    </row>
    <row r="244" spans="1:12" x14ac:dyDescent="0.3">
      <c r="A244" s="442">
        <f t="shared" si="3"/>
        <v>0</v>
      </c>
      <c r="B244" s="453"/>
      <c r="C244" s="454"/>
      <c r="D244" s="452"/>
      <c r="E244" s="454"/>
      <c r="F244" s="454"/>
      <c r="G244" s="452"/>
      <c r="H244" s="452"/>
      <c r="I244" s="454"/>
      <c r="J244" s="454"/>
      <c r="K244" s="452"/>
      <c r="L244" s="452"/>
    </row>
    <row r="245" spans="1:12" x14ac:dyDescent="0.3">
      <c r="A245" s="442">
        <f t="shared" si="3"/>
        <v>0</v>
      </c>
      <c r="B245" s="453"/>
      <c r="C245" s="454"/>
      <c r="D245" s="452"/>
      <c r="E245" s="454"/>
      <c r="F245" s="454"/>
      <c r="G245" s="452"/>
      <c r="H245" s="452"/>
      <c r="I245" s="454"/>
      <c r="J245" s="454"/>
      <c r="K245" s="454"/>
      <c r="L245" s="452"/>
    </row>
    <row r="246" spans="1:12" x14ac:dyDescent="0.3">
      <c r="A246" s="442">
        <f t="shared" si="3"/>
        <v>0</v>
      </c>
      <c r="B246" s="453"/>
      <c r="C246" s="454"/>
      <c r="D246" s="452"/>
      <c r="E246" s="454"/>
      <c r="F246" s="454"/>
      <c r="G246" s="452"/>
      <c r="H246" s="452"/>
      <c r="I246" s="454"/>
      <c r="J246" s="454"/>
      <c r="K246" s="454"/>
      <c r="L246" s="452"/>
    </row>
    <row r="247" spans="1:12" x14ac:dyDescent="0.3">
      <c r="A247" s="442">
        <f t="shared" si="3"/>
        <v>0</v>
      </c>
      <c r="B247" s="453"/>
      <c r="C247" s="454"/>
      <c r="D247" s="452"/>
      <c r="E247" s="454"/>
      <c r="F247" s="454"/>
      <c r="G247" s="452"/>
      <c r="H247" s="452"/>
      <c r="I247" s="454"/>
      <c r="J247" s="454"/>
      <c r="K247" s="454"/>
      <c r="L247" s="452"/>
    </row>
    <row r="248" spans="1:12" x14ac:dyDescent="0.3">
      <c r="A248" s="442">
        <f t="shared" si="3"/>
        <v>0</v>
      </c>
      <c r="B248" s="453"/>
      <c r="C248" s="454"/>
      <c r="D248" s="452"/>
      <c r="E248" s="454"/>
      <c r="F248" s="454"/>
      <c r="G248" s="452"/>
      <c r="H248" s="452"/>
      <c r="I248" s="454"/>
      <c r="J248" s="454"/>
      <c r="K248" s="454"/>
      <c r="L248" s="452"/>
    </row>
    <row r="249" spans="1:12" x14ac:dyDescent="0.3">
      <c r="A249" s="442">
        <f t="shared" si="3"/>
        <v>0</v>
      </c>
      <c r="B249" s="453"/>
      <c r="C249" s="454"/>
      <c r="D249" s="452"/>
      <c r="E249" s="454"/>
      <c r="F249" s="454"/>
      <c r="G249" s="452"/>
      <c r="H249" s="452"/>
      <c r="I249" s="454"/>
      <c r="J249" s="454"/>
      <c r="K249" s="454"/>
      <c r="L249" s="452"/>
    </row>
    <row r="250" spans="1:12" x14ac:dyDescent="0.3">
      <c r="A250" s="442">
        <f t="shared" si="3"/>
        <v>0</v>
      </c>
      <c r="B250" s="453"/>
      <c r="C250" s="454"/>
      <c r="D250" s="452"/>
      <c r="E250" s="454"/>
      <c r="F250" s="454"/>
      <c r="G250" s="452"/>
      <c r="H250" s="452"/>
      <c r="I250" s="454"/>
      <c r="J250" s="454"/>
      <c r="K250" s="454"/>
      <c r="L250" s="452"/>
    </row>
    <row r="251" spans="1:12" x14ac:dyDescent="0.3">
      <c r="A251" s="442">
        <f t="shared" si="3"/>
        <v>0</v>
      </c>
      <c r="B251" s="453"/>
      <c r="C251" s="454"/>
      <c r="D251" s="452"/>
      <c r="E251" s="454"/>
      <c r="F251" s="454"/>
      <c r="G251" s="452"/>
      <c r="H251" s="452"/>
      <c r="I251" s="454"/>
      <c r="J251" s="454"/>
      <c r="K251" s="454"/>
      <c r="L251" s="452"/>
    </row>
    <row r="252" spans="1:12" x14ac:dyDescent="0.3">
      <c r="A252" s="442">
        <f t="shared" si="3"/>
        <v>0</v>
      </c>
      <c r="B252" s="453"/>
      <c r="C252" s="454"/>
      <c r="D252" s="452"/>
      <c r="E252" s="454"/>
      <c r="F252" s="454"/>
      <c r="G252" s="452"/>
      <c r="H252" s="452"/>
      <c r="I252" s="454"/>
      <c r="J252" s="454"/>
      <c r="K252" s="454"/>
      <c r="L252" s="452"/>
    </row>
    <row r="253" spans="1:12" x14ac:dyDescent="0.3">
      <c r="A253" s="442">
        <f t="shared" si="3"/>
        <v>0</v>
      </c>
      <c r="B253" s="453"/>
      <c r="C253" s="454"/>
      <c r="D253" s="452"/>
      <c r="E253" s="454"/>
      <c r="F253" s="454"/>
      <c r="G253" s="452"/>
      <c r="H253" s="452"/>
      <c r="I253" s="454"/>
      <c r="J253" s="454"/>
      <c r="K253" s="452"/>
      <c r="L253" s="452"/>
    </row>
    <row r="254" spans="1:12" x14ac:dyDescent="0.3">
      <c r="A254" s="442">
        <f t="shared" si="3"/>
        <v>0</v>
      </c>
      <c r="B254" s="453"/>
      <c r="C254" s="454"/>
      <c r="D254" s="452"/>
      <c r="E254" s="454"/>
      <c r="F254" s="454"/>
      <c r="G254" s="452"/>
      <c r="H254" s="452"/>
      <c r="I254" s="454"/>
      <c r="J254" s="454"/>
      <c r="K254" s="454"/>
      <c r="L254" s="452"/>
    </row>
    <row r="255" spans="1:12" x14ac:dyDescent="0.3">
      <c r="A255" s="442">
        <f t="shared" si="3"/>
        <v>0</v>
      </c>
      <c r="B255" s="453"/>
      <c r="C255" s="454"/>
      <c r="D255" s="452"/>
      <c r="E255" s="454"/>
      <c r="F255" s="454"/>
      <c r="G255" s="452"/>
      <c r="H255" s="452"/>
      <c r="I255" s="454"/>
      <c r="J255" s="454"/>
      <c r="K255" s="454"/>
      <c r="L255" s="452"/>
    </row>
    <row r="256" spans="1:12" x14ac:dyDescent="0.3">
      <c r="A256" s="442">
        <f t="shared" si="3"/>
        <v>0</v>
      </c>
      <c r="B256" s="453"/>
      <c r="C256" s="454"/>
      <c r="D256" s="452"/>
      <c r="E256" s="454"/>
      <c r="F256" s="454"/>
      <c r="G256" s="452"/>
      <c r="H256" s="452"/>
      <c r="I256" s="454"/>
      <c r="J256" s="454"/>
      <c r="K256" s="454"/>
      <c r="L256" s="452"/>
    </row>
    <row r="257" spans="1:12" x14ac:dyDescent="0.3">
      <c r="A257" s="442">
        <f t="shared" si="3"/>
        <v>0</v>
      </c>
      <c r="B257" s="453"/>
      <c r="C257" s="454"/>
      <c r="D257" s="452"/>
      <c r="E257" s="454"/>
      <c r="F257" s="454"/>
      <c r="G257" s="452"/>
      <c r="H257" s="452"/>
      <c r="I257" s="454"/>
      <c r="J257" s="454"/>
      <c r="K257" s="454"/>
      <c r="L257" s="452"/>
    </row>
    <row r="258" spans="1:12" x14ac:dyDescent="0.3">
      <c r="A258" s="442">
        <f t="shared" si="3"/>
        <v>0</v>
      </c>
      <c r="B258" s="453"/>
      <c r="C258" s="454"/>
      <c r="D258" s="452"/>
      <c r="E258" s="454"/>
      <c r="F258" s="454"/>
      <c r="G258" s="452"/>
      <c r="H258" s="452"/>
      <c r="I258" s="454"/>
      <c r="J258" s="454"/>
      <c r="K258" s="454"/>
      <c r="L258" s="452"/>
    </row>
    <row r="259" spans="1:12" x14ac:dyDescent="0.3">
      <c r="A259" s="442">
        <f t="shared" si="3"/>
        <v>0</v>
      </c>
      <c r="B259" s="453"/>
      <c r="C259" s="454"/>
      <c r="D259" s="452"/>
      <c r="E259" s="454"/>
      <c r="F259" s="454"/>
      <c r="G259" s="452"/>
      <c r="H259" s="452"/>
      <c r="I259" s="454"/>
      <c r="J259" s="454"/>
      <c r="K259" s="454"/>
      <c r="L259" s="452"/>
    </row>
    <row r="260" spans="1:12" x14ac:dyDescent="0.3">
      <c r="A260" s="442">
        <f t="shared" si="3"/>
        <v>0</v>
      </c>
      <c r="B260" s="453"/>
      <c r="C260" s="454"/>
      <c r="D260" s="452"/>
      <c r="E260" s="454"/>
      <c r="F260" s="454"/>
      <c r="G260" s="452"/>
      <c r="H260" s="452"/>
      <c r="I260" s="454"/>
      <c r="J260" s="454"/>
      <c r="K260" s="452"/>
      <c r="L260" s="452"/>
    </row>
    <row r="261" spans="1:12" x14ac:dyDescent="0.3">
      <c r="A261" s="442">
        <f t="shared" si="3"/>
        <v>0</v>
      </c>
      <c r="B261" s="453"/>
      <c r="C261" s="454"/>
      <c r="D261" s="452"/>
      <c r="E261" s="454"/>
      <c r="F261" s="454"/>
      <c r="G261" s="452"/>
      <c r="H261" s="452"/>
      <c r="I261" s="454"/>
      <c r="J261" s="454"/>
      <c r="K261" s="454"/>
      <c r="L261" s="452"/>
    </row>
    <row r="262" spans="1:12" x14ac:dyDescent="0.3">
      <c r="A262" s="442">
        <f t="shared" si="3"/>
        <v>0</v>
      </c>
      <c r="B262" s="453"/>
      <c r="C262" s="454"/>
      <c r="D262" s="452"/>
      <c r="E262" s="454"/>
      <c r="F262" s="454"/>
      <c r="G262" s="452"/>
      <c r="H262" s="452"/>
      <c r="I262" s="454"/>
      <c r="J262" s="454"/>
      <c r="K262" s="454"/>
      <c r="L262" s="452"/>
    </row>
    <row r="263" spans="1:12" x14ac:dyDescent="0.3">
      <c r="A263" s="442">
        <f t="shared" si="3"/>
        <v>0</v>
      </c>
      <c r="B263" s="453"/>
      <c r="C263" s="454"/>
      <c r="D263" s="452"/>
      <c r="E263" s="454"/>
      <c r="F263" s="454"/>
      <c r="G263" s="452"/>
      <c r="H263" s="452"/>
      <c r="I263" s="454"/>
      <c r="J263" s="454"/>
      <c r="K263" s="454"/>
      <c r="L263" s="452"/>
    </row>
    <row r="264" spans="1:12" x14ac:dyDescent="0.3">
      <c r="A264" s="442">
        <f t="shared" si="3"/>
        <v>0</v>
      </c>
      <c r="B264" s="453"/>
      <c r="C264" s="454"/>
      <c r="D264" s="452"/>
      <c r="E264" s="454"/>
      <c r="F264" s="454"/>
      <c r="G264" s="452"/>
      <c r="H264" s="452"/>
      <c r="I264" s="454"/>
      <c r="J264" s="454"/>
      <c r="K264" s="454"/>
      <c r="L264" s="452"/>
    </row>
    <row r="265" spans="1:12" x14ac:dyDescent="0.3">
      <c r="A265" s="442">
        <f t="shared" si="3"/>
        <v>0</v>
      </c>
      <c r="B265" s="453"/>
      <c r="C265" s="454"/>
      <c r="D265" s="452"/>
      <c r="E265" s="454"/>
      <c r="F265" s="454"/>
      <c r="G265" s="452"/>
      <c r="H265" s="452"/>
      <c r="I265" s="454"/>
      <c r="J265" s="454"/>
      <c r="K265" s="454"/>
      <c r="L265" s="452"/>
    </row>
    <row r="266" spans="1:12" x14ac:dyDescent="0.3">
      <c r="A266" s="442">
        <f t="shared" si="3"/>
        <v>0</v>
      </c>
      <c r="B266" s="453"/>
      <c r="C266" s="454"/>
      <c r="D266" s="452"/>
      <c r="E266" s="454"/>
      <c r="F266" s="454"/>
      <c r="G266" s="452"/>
      <c r="H266" s="452"/>
      <c r="I266" s="454"/>
      <c r="J266" s="454"/>
      <c r="K266" s="454"/>
      <c r="L266" s="452"/>
    </row>
    <row r="267" spans="1:12" x14ac:dyDescent="0.3">
      <c r="A267" s="442">
        <f t="shared" si="3"/>
        <v>0</v>
      </c>
      <c r="B267" s="453"/>
      <c r="C267" s="454"/>
      <c r="D267" s="452"/>
      <c r="E267" s="454"/>
      <c r="F267" s="454"/>
      <c r="G267" s="452"/>
      <c r="H267" s="452"/>
      <c r="I267" s="454"/>
      <c r="J267" s="454"/>
      <c r="K267" s="454"/>
      <c r="L267" s="452"/>
    </row>
    <row r="268" spans="1:12" x14ac:dyDescent="0.3">
      <c r="A268" s="442">
        <f t="shared" si="3"/>
        <v>0</v>
      </c>
      <c r="B268" s="453"/>
      <c r="C268" s="454"/>
      <c r="D268" s="452"/>
      <c r="E268" s="454"/>
      <c r="F268" s="454"/>
      <c r="G268" s="452"/>
      <c r="H268" s="452"/>
      <c r="I268" s="454"/>
      <c r="J268" s="454"/>
      <c r="K268" s="454"/>
      <c r="L268" s="452"/>
    </row>
    <row r="269" spans="1:12" x14ac:dyDescent="0.3">
      <c r="A269" s="442">
        <f t="shared" si="3"/>
        <v>0</v>
      </c>
      <c r="B269" s="453"/>
      <c r="C269" s="454"/>
      <c r="D269" s="452"/>
      <c r="E269" s="454"/>
      <c r="F269" s="454"/>
      <c r="G269" s="452"/>
      <c r="H269" s="452"/>
      <c r="I269" s="454"/>
      <c r="J269" s="454"/>
      <c r="K269" s="454"/>
      <c r="L269" s="452"/>
    </row>
    <row r="270" spans="1:12" x14ac:dyDescent="0.3">
      <c r="A270" s="442">
        <f t="shared" si="3"/>
        <v>0</v>
      </c>
      <c r="B270" s="453"/>
      <c r="C270" s="454"/>
      <c r="D270" s="452"/>
      <c r="E270" s="454"/>
      <c r="F270" s="454"/>
      <c r="G270" s="452"/>
      <c r="H270" s="452"/>
      <c r="I270" s="454"/>
      <c r="J270" s="454"/>
      <c r="K270" s="454"/>
      <c r="L270" s="452"/>
    </row>
    <row r="271" spans="1:12" x14ac:dyDescent="0.3">
      <c r="A271" s="442">
        <f t="shared" ref="A271:A334" si="4">IF(D271="",0,SUBSTITUTE(LOWER(D271),"km","")+0)</f>
        <v>0</v>
      </c>
      <c r="B271" s="453"/>
      <c r="C271" s="454"/>
      <c r="D271" s="452"/>
      <c r="E271" s="454"/>
      <c r="F271" s="454"/>
      <c r="G271" s="452"/>
      <c r="H271" s="452"/>
      <c r="I271" s="454"/>
      <c r="J271" s="454"/>
      <c r="K271" s="452"/>
      <c r="L271" s="452"/>
    </row>
    <row r="272" spans="1:12" x14ac:dyDescent="0.3">
      <c r="A272" s="442">
        <f t="shared" si="4"/>
        <v>0</v>
      </c>
      <c r="B272" s="453"/>
      <c r="C272" s="454"/>
      <c r="D272" s="452"/>
      <c r="E272" s="454"/>
      <c r="F272" s="454"/>
      <c r="G272" s="452"/>
      <c r="H272" s="452"/>
      <c r="I272" s="454"/>
      <c r="J272" s="454"/>
      <c r="K272" s="454"/>
      <c r="L272" s="452"/>
    </row>
    <row r="273" spans="1:12" x14ac:dyDescent="0.3">
      <c r="A273" s="442">
        <f t="shared" si="4"/>
        <v>0</v>
      </c>
      <c r="B273" s="453"/>
      <c r="C273" s="454"/>
      <c r="D273" s="452"/>
      <c r="E273" s="454"/>
      <c r="F273" s="454"/>
      <c r="G273" s="452"/>
      <c r="H273" s="452"/>
      <c r="I273" s="454"/>
      <c r="J273" s="454"/>
      <c r="K273" s="452"/>
      <c r="L273" s="452"/>
    </row>
    <row r="274" spans="1:12" x14ac:dyDescent="0.3">
      <c r="A274" s="442">
        <f t="shared" si="4"/>
        <v>0</v>
      </c>
      <c r="B274" s="453"/>
      <c r="C274" s="454"/>
      <c r="D274" s="452"/>
      <c r="E274" s="454"/>
      <c r="F274" s="454"/>
      <c r="G274" s="452"/>
      <c r="H274" s="452"/>
      <c r="I274" s="454"/>
      <c r="J274" s="454"/>
      <c r="K274" s="454"/>
      <c r="L274" s="452"/>
    </row>
    <row r="275" spans="1:12" x14ac:dyDescent="0.3">
      <c r="A275" s="442">
        <f t="shared" si="4"/>
        <v>0</v>
      </c>
      <c r="B275" s="453"/>
      <c r="C275" s="454"/>
      <c r="D275" s="452"/>
      <c r="E275" s="454"/>
      <c r="F275" s="454"/>
      <c r="G275" s="452"/>
      <c r="H275" s="452"/>
      <c r="I275" s="454"/>
      <c r="J275" s="454"/>
      <c r="K275" s="452"/>
      <c r="L275" s="452"/>
    </row>
    <row r="276" spans="1:12" x14ac:dyDescent="0.3">
      <c r="A276" s="442">
        <f t="shared" si="4"/>
        <v>0</v>
      </c>
      <c r="B276" s="453"/>
      <c r="C276" s="454"/>
      <c r="D276" s="452"/>
      <c r="E276" s="454"/>
      <c r="F276" s="454"/>
      <c r="G276" s="452"/>
      <c r="H276" s="452"/>
      <c r="I276" s="454"/>
      <c r="J276" s="454"/>
      <c r="K276" s="454"/>
      <c r="L276" s="452"/>
    </row>
    <row r="277" spans="1:12" x14ac:dyDescent="0.3">
      <c r="A277" s="442">
        <f t="shared" si="4"/>
        <v>0</v>
      </c>
      <c r="B277" s="453"/>
      <c r="C277" s="454"/>
      <c r="D277" s="452"/>
      <c r="E277" s="454"/>
      <c r="F277" s="454"/>
      <c r="G277" s="452"/>
      <c r="H277" s="452"/>
      <c r="I277" s="454"/>
      <c r="J277" s="454"/>
      <c r="K277" s="454"/>
      <c r="L277" s="452"/>
    </row>
    <row r="278" spans="1:12" x14ac:dyDescent="0.3">
      <c r="A278" s="442">
        <f t="shared" si="4"/>
        <v>0</v>
      </c>
      <c r="B278" s="453"/>
      <c r="C278" s="454"/>
      <c r="D278" s="452"/>
      <c r="E278" s="454"/>
      <c r="F278" s="454"/>
      <c r="G278" s="452"/>
      <c r="H278" s="452"/>
      <c r="I278" s="454"/>
      <c r="J278" s="454"/>
      <c r="K278" s="454"/>
      <c r="L278" s="452"/>
    </row>
    <row r="279" spans="1:12" x14ac:dyDescent="0.3">
      <c r="A279" s="442">
        <f t="shared" si="4"/>
        <v>0</v>
      </c>
      <c r="B279" s="453"/>
      <c r="C279" s="454"/>
      <c r="D279" s="452"/>
      <c r="E279" s="454"/>
      <c r="F279" s="454"/>
      <c r="G279" s="452"/>
      <c r="H279" s="452"/>
      <c r="I279" s="454"/>
      <c r="J279" s="454"/>
      <c r="K279" s="454"/>
      <c r="L279" s="452"/>
    </row>
    <row r="280" spans="1:12" x14ac:dyDescent="0.3">
      <c r="A280" s="442">
        <f t="shared" si="4"/>
        <v>0</v>
      </c>
      <c r="B280" s="453"/>
      <c r="C280" s="454"/>
      <c r="D280" s="452"/>
      <c r="E280" s="454"/>
      <c r="F280" s="454"/>
      <c r="G280" s="452"/>
      <c r="H280" s="452"/>
      <c r="I280" s="454"/>
      <c r="J280" s="454"/>
      <c r="K280" s="454"/>
      <c r="L280" s="452"/>
    </row>
    <row r="281" spans="1:12" x14ac:dyDescent="0.3">
      <c r="A281" s="442">
        <f t="shared" si="4"/>
        <v>0</v>
      </c>
      <c r="B281" s="453"/>
      <c r="C281" s="454"/>
      <c r="D281" s="452"/>
      <c r="E281" s="454"/>
      <c r="F281" s="454"/>
      <c r="G281" s="452"/>
      <c r="H281" s="452"/>
      <c r="I281" s="454"/>
      <c r="J281" s="454"/>
      <c r="K281" s="454"/>
      <c r="L281" s="452"/>
    </row>
    <row r="282" spans="1:12" x14ac:dyDescent="0.3">
      <c r="A282" s="442">
        <f t="shared" si="4"/>
        <v>0</v>
      </c>
      <c r="B282" s="453"/>
      <c r="C282" s="454"/>
      <c r="D282" s="452"/>
      <c r="E282" s="454"/>
      <c r="F282" s="454"/>
      <c r="G282" s="452"/>
      <c r="H282" s="452"/>
      <c r="I282" s="454"/>
      <c r="J282" s="454"/>
      <c r="K282" s="454"/>
      <c r="L282" s="452"/>
    </row>
    <row r="283" spans="1:12" x14ac:dyDescent="0.3">
      <c r="A283" s="442">
        <f t="shared" si="4"/>
        <v>0</v>
      </c>
      <c r="B283" s="453"/>
      <c r="C283" s="454"/>
      <c r="D283" s="452"/>
      <c r="E283" s="454"/>
      <c r="F283" s="454"/>
      <c r="G283" s="452"/>
      <c r="H283" s="452"/>
      <c r="I283" s="454"/>
      <c r="J283" s="454"/>
      <c r="K283" s="454"/>
      <c r="L283" s="452"/>
    </row>
    <row r="284" spans="1:12" x14ac:dyDescent="0.3">
      <c r="A284" s="442">
        <f t="shared" si="4"/>
        <v>0</v>
      </c>
      <c r="B284" s="453"/>
      <c r="C284" s="454"/>
      <c r="D284" s="452"/>
      <c r="E284" s="454"/>
      <c r="F284" s="454"/>
      <c r="G284" s="452"/>
      <c r="H284" s="452"/>
      <c r="I284" s="454"/>
      <c r="J284" s="454"/>
      <c r="K284" s="454"/>
      <c r="L284" s="452"/>
    </row>
    <row r="285" spans="1:12" x14ac:dyDescent="0.3">
      <c r="A285" s="442">
        <f t="shared" si="4"/>
        <v>0</v>
      </c>
      <c r="B285" s="453"/>
      <c r="C285" s="454"/>
      <c r="D285" s="452"/>
      <c r="E285" s="454"/>
      <c r="F285" s="454"/>
      <c r="G285" s="452"/>
      <c r="H285" s="452"/>
      <c r="I285" s="454"/>
      <c r="J285" s="454"/>
      <c r="K285" s="454"/>
      <c r="L285" s="452"/>
    </row>
    <row r="286" spans="1:12" x14ac:dyDescent="0.3">
      <c r="A286" s="442">
        <f t="shared" si="4"/>
        <v>0</v>
      </c>
      <c r="B286" s="453"/>
      <c r="C286" s="454"/>
      <c r="D286" s="452"/>
      <c r="E286" s="454"/>
      <c r="F286" s="454"/>
      <c r="G286" s="452"/>
      <c r="H286" s="452"/>
      <c r="I286" s="454"/>
      <c r="J286" s="454"/>
      <c r="K286" s="454"/>
      <c r="L286" s="452"/>
    </row>
    <row r="287" spans="1:12" x14ac:dyDescent="0.3">
      <c r="A287" s="442">
        <f t="shared" si="4"/>
        <v>0</v>
      </c>
      <c r="B287" s="453"/>
      <c r="C287" s="454"/>
      <c r="D287" s="452"/>
      <c r="E287" s="454"/>
      <c r="F287" s="454"/>
      <c r="G287" s="452"/>
      <c r="H287" s="452"/>
      <c r="I287" s="454"/>
      <c r="J287" s="454"/>
      <c r="K287" s="454"/>
      <c r="L287" s="452"/>
    </row>
    <row r="288" spans="1:12" x14ac:dyDescent="0.3">
      <c r="A288" s="442">
        <f t="shared" si="4"/>
        <v>0</v>
      </c>
      <c r="B288" s="453"/>
      <c r="C288" s="454"/>
      <c r="D288" s="452"/>
      <c r="E288" s="454"/>
      <c r="F288" s="454"/>
      <c r="G288" s="452"/>
      <c r="H288" s="452"/>
      <c r="I288" s="454"/>
      <c r="J288" s="454"/>
      <c r="K288" s="454"/>
      <c r="L288" s="452"/>
    </row>
    <row r="289" spans="1:12" x14ac:dyDescent="0.3">
      <c r="A289" s="442">
        <f t="shared" si="4"/>
        <v>0</v>
      </c>
      <c r="B289" s="453"/>
      <c r="C289" s="454"/>
      <c r="D289" s="452"/>
      <c r="E289" s="454"/>
      <c r="F289" s="454"/>
      <c r="G289" s="452"/>
      <c r="H289" s="452"/>
      <c r="I289" s="454"/>
      <c r="J289" s="454"/>
      <c r="K289" s="452"/>
      <c r="L289" s="452"/>
    </row>
    <row r="290" spans="1:12" x14ac:dyDescent="0.3">
      <c r="A290" s="442">
        <f t="shared" si="4"/>
        <v>0</v>
      </c>
      <c r="B290" s="453"/>
      <c r="C290" s="454"/>
      <c r="D290" s="452"/>
      <c r="E290" s="454"/>
      <c r="F290" s="454"/>
      <c r="G290" s="452"/>
      <c r="H290" s="452"/>
      <c r="I290" s="454"/>
      <c r="J290" s="454"/>
      <c r="K290" s="454"/>
      <c r="L290" s="452"/>
    </row>
    <row r="291" spans="1:12" x14ac:dyDescent="0.3">
      <c r="A291" s="442">
        <f t="shared" si="4"/>
        <v>0</v>
      </c>
      <c r="B291" s="453"/>
      <c r="C291" s="454"/>
      <c r="D291" s="452"/>
      <c r="E291" s="454"/>
      <c r="F291" s="454"/>
      <c r="G291" s="452"/>
      <c r="H291" s="452"/>
      <c r="I291" s="454"/>
      <c r="J291" s="454"/>
      <c r="K291" s="454"/>
      <c r="L291" s="452"/>
    </row>
    <row r="292" spans="1:12" x14ac:dyDescent="0.3">
      <c r="A292" s="442">
        <f t="shared" si="4"/>
        <v>0</v>
      </c>
      <c r="B292" s="453"/>
      <c r="C292" s="454"/>
      <c r="D292" s="452"/>
      <c r="E292" s="454"/>
      <c r="F292" s="454"/>
      <c r="G292" s="452"/>
      <c r="H292" s="452"/>
      <c r="I292" s="454"/>
      <c r="J292" s="454"/>
      <c r="K292" s="454"/>
      <c r="L292" s="452"/>
    </row>
    <row r="293" spans="1:12" x14ac:dyDescent="0.3">
      <c r="A293" s="442">
        <f t="shared" si="4"/>
        <v>0</v>
      </c>
      <c r="B293" s="453"/>
      <c r="C293" s="454"/>
      <c r="D293" s="452"/>
      <c r="E293" s="454"/>
      <c r="F293" s="454"/>
      <c r="G293" s="452"/>
      <c r="H293" s="452"/>
      <c r="I293" s="454"/>
      <c r="J293" s="454"/>
      <c r="K293" s="454"/>
      <c r="L293" s="452"/>
    </row>
    <row r="294" spans="1:12" x14ac:dyDescent="0.3">
      <c r="A294" s="442">
        <f t="shared" si="4"/>
        <v>0</v>
      </c>
      <c r="B294" s="453"/>
      <c r="C294" s="454"/>
      <c r="D294" s="452"/>
      <c r="E294" s="454"/>
      <c r="F294" s="454"/>
      <c r="G294" s="452"/>
      <c r="H294" s="452"/>
      <c r="I294" s="454"/>
      <c r="J294" s="454"/>
      <c r="K294" s="455"/>
      <c r="L294" s="452"/>
    </row>
    <row r="295" spans="1:12" x14ac:dyDescent="0.3">
      <c r="A295" s="442">
        <f t="shared" si="4"/>
        <v>0</v>
      </c>
      <c r="B295" s="453"/>
      <c r="C295" s="454"/>
      <c r="D295" s="452"/>
      <c r="E295" s="454"/>
      <c r="F295" s="454"/>
      <c r="G295" s="452"/>
      <c r="H295" s="452"/>
      <c r="I295" s="454"/>
      <c r="J295" s="454"/>
      <c r="K295" s="454"/>
      <c r="L295" s="452"/>
    </row>
    <row r="296" spans="1:12" x14ac:dyDescent="0.3">
      <c r="A296" s="442">
        <f t="shared" si="4"/>
        <v>0</v>
      </c>
      <c r="B296" s="453"/>
      <c r="C296" s="454"/>
      <c r="D296" s="452"/>
      <c r="E296" s="454"/>
      <c r="F296" s="454"/>
      <c r="G296" s="452"/>
      <c r="H296" s="452"/>
      <c r="I296" s="454"/>
      <c r="J296" s="454"/>
      <c r="K296" s="454"/>
      <c r="L296" s="452"/>
    </row>
    <row r="297" spans="1:12" x14ac:dyDescent="0.3">
      <c r="A297" s="442">
        <f t="shared" si="4"/>
        <v>0</v>
      </c>
      <c r="B297" s="453"/>
      <c r="C297" s="454"/>
      <c r="D297" s="452"/>
      <c r="E297" s="454"/>
      <c r="F297" s="454"/>
      <c r="G297" s="452"/>
      <c r="H297" s="452"/>
      <c r="I297" s="454"/>
      <c r="J297" s="454"/>
      <c r="K297" s="454"/>
      <c r="L297" s="452"/>
    </row>
    <row r="298" spans="1:12" x14ac:dyDescent="0.3">
      <c r="A298" s="442">
        <f t="shared" si="4"/>
        <v>0</v>
      </c>
      <c r="B298" s="453"/>
      <c r="C298" s="454"/>
      <c r="D298" s="452"/>
      <c r="E298" s="454"/>
      <c r="F298" s="454"/>
      <c r="G298" s="452"/>
      <c r="H298" s="452"/>
      <c r="I298" s="454"/>
      <c r="J298" s="454"/>
      <c r="K298" s="454"/>
      <c r="L298" s="452"/>
    </row>
    <row r="299" spans="1:12" x14ac:dyDescent="0.3">
      <c r="A299" s="442">
        <f t="shared" si="4"/>
        <v>0</v>
      </c>
      <c r="B299" s="453"/>
      <c r="C299" s="454"/>
      <c r="D299" s="452"/>
      <c r="E299" s="454"/>
      <c r="F299" s="454"/>
      <c r="G299" s="452"/>
      <c r="H299" s="452"/>
      <c r="I299" s="454"/>
      <c r="J299" s="454"/>
      <c r="K299" s="454"/>
      <c r="L299" s="452"/>
    </row>
    <row r="300" spans="1:12" x14ac:dyDescent="0.3">
      <c r="A300" s="442">
        <f t="shared" si="4"/>
        <v>0</v>
      </c>
      <c r="B300" s="453"/>
      <c r="C300" s="454"/>
      <c r="D300" s="452"/>
      <c r="E300" s="454"/>
      <c r="F300" s="454"/>
      <c r="G300" s="452"/>
      <c r="H300" s="452"/>
      <c r="I300" s="454"/>
      <c r="J300" s="454"/>
      <c r="K300" s="454"/>
      <c r="L300" s="452"/>
    </row>
    <row r="301" spans="1:12" x14ac:dyDescent="0.3">
      <c r="A301" s="442">
        <f t="shared" si="4"/>
        <v>0</v>
      </c>
      <c r="B301" s="453"/>
      <c r="C301" s="454"/>
      <c r="D301" s="452"/>
      <c r="E301" s="454"/>
      <c r="F301" s="454"/>
      <c r="G301" s="452"/>
      <c r="H301" s="452"/>
      <c r="I301" s="454"/>
      <c r="J301" s="454"/>
      <c r="K301" s="454"/>
      <c r="L301" s="452"/>
    </row>
    <row r="302" spans="1:12" x14ac:dyDescent="0.3">
      <c r="A302" s="442">
        <f t="shared" si="4"/>
        <v>0</v>
      </c>
      <c r="B302" s="453"/>
      <c r="C302" s="454"/>
      <c r="D302" s="452"/>
      <c r="E302" s="454"/>
      <c r="F302" s="454"/>
      <c r="G302" s="452"/>
      <c r="H302" s="452"/>
      <c r="I302" s="454"/>
      <c r="J302" s="454"/>
      <c r="K302" s="454"/>
      <c r="L302" s="452"/>
    </row>
    <row r="303" spans="1:12" x14ac:dyDescent="0.3">
      <c r="A303" s="442">
        <f t="shared" si="4"/>
        <v>0</v>
      </c>
      <c r="B303" s="453"/>
      <c r="C303" s="454"/>
      <c r="D303" s="452"/>
      <c r="E303" s="454"/>
      <c r="F303" s="454"/>
      <c r="G303" s="452"/>
      <c r="H303" s="452"/>
      <c r="I303" s="454"/>
      <c r="J303" s="454"/>
      <c r="K303" s="454"/>
      <c r="L303" s="452"/>
    </row>
    <row r="304" spans="1:12" x14ac:dyDescent="0.3">
      <c r="A304" s="442">
        <f t="shared" si="4"/>
        <v>0</v>
      </c>
      <c r="B304" s="453"/>
      <c r="C304" s="454"/>
      <c r="D304" s="452"/>
      <c r="E304" s="454"/>
      <c r="F304" s="454"/>
      <c r="G304" s="452"/>
      <c r="H304" s="452"/>
      <c r="I304" s="454"/>
      <c r="J304" s="454"/>
      <c r="K304" s="454"/>
      <c r="L304" s="452"/>
    </row>
    <row r="305" spans="1:12" x14ac:dyDescent="0.3">
      <c r="A305" s="442">
        <f t="shared" si="4"/>
        <v>0</v>
      </c>
      <c r="B305" s="453"/>
      <c r="C305" s="454"/>
      <c r="D305" s="452"/>
      <c r="E305" s="454"/>
      <c r="F305" s="454"/>
      <c r="G305" s="452"/>
      <c r="H305" s="452"/>
      <c r="I305" s="454"/>
      <c r="J305" s="454"/>
      <c r="K305" s="454"/>
      <c r="L305" s="452"/>
    </row>
    <row r="306" spans="1:12" x14ac:dyDescent="0.3">
      <c r="A306" s="442">
        <f t="shared" si="4"/>
        <v>0</v>
      </c>
      <c r="B306" s="453"/>
      <c r="C306" s="454"/>
      <c r="D306" s="452"/>
      <c r="E306" s="454"/>
      <c r="F306" s="454"/>
      <c r="G306" s="452"/>
      <c r="H306" s="452"/>
      <c r="I306" s="454"/>
      <c r="J306" s="454"/>
      <c r="K306" s="454"/>
      <c r="L306" s="452"/>
    </row>
    <row r="307" spans="1:12" x14ac:dyDescent="0.3">
      <c r="A307" s="442">
        <f t="shared" si="4"/>
        <v>0</v>
      </c>
      <c r="B307" s="453"/>
      <c r="C307" s="454"/>
      <c r="D307" s="452"/>
      <c r="E307" s="454"/>
      <c r="F307" s="454"/>
      <c r="G307" s="452"/>
      <c r="H307" s="452"/>
      <c r="I307" s="454"/>
      <c r="J307" s="454"/>
      <c r="K307" s="452"/>
      <c r="L307" s="452"/>
    </row>
    <row r="308" spans="1:12" x14ac:dyDescent="0.3">
      <c r="A308" s="442">
        <f t="shared" si="4"/>
        <v>0</v>
      </c>
      <c r="B308" s="453"/>
      <c r="C308" s="454"/>
      <c r="D308" s="452"/>
      <c r="E308" s="454"/>
      <c r="F308" s="454"/>
      <c r="G308" s="452"/>
      <c r="H308" s="452"/>
      <c r="I308" s="454"/>
      <c r="J308" s="454"/>
      <c r="K308" s="454"/>
      <c r="L308" s="452"/>
    </row>
    <row r="309" spans="1:12" x14ac:dyDescent="0.3">
      <c r="A309" s="442">
        <f t="shared" si="4"/>
        <v>0</v>
      </c>
      <c r="B309" s="453"/>
      <c r="C309" s="454"/>
      <c r="D309" s="452"/>
      <c r="E309" s="454"/>
      <c r="F309" s="454"/>
      <c r="G309" s="452"/>
      <c r="H309" s="452"/>
      <c r="I309" s="454"/>
      <c r="J309" s="454"/>
      <c r="K309" s="454"/>
      <c r="L309" s="452"/>
    </row>
    <row r="310" spans="1:12" x14ac:dyDescent="0.3">
      <c r="A310" s="442">
        <f t="shared" si="4"/>
        <v>0</v>
      </c>
      <c r="B310" s="453"/>
      <c r="C310" s="454"/>
      <c r="D310" s="452"/>
      <c r="E310" s="454"/>
      <c r="F310" s="454"/>
      <c r="G310" s="452"/>
      <c r="H310" s="452"/>
      <c r="I310" s="454"/>
      <c r="J310" s="454"/>
      <c r="K310" s="454"/>
      <c r="L310" s="452"/>
    </row>
    <row r="311" spans="1:12" x14ac:dyDescent="0.3">
      <c r="A311" s="442">
        <f t="shared" si="4"/>
        <v>0</v>
      </c>
      <c r="B311" s="453"/>
      <c r="C311" s="454"/>
      <c r="D311" s="452"/>
      <c r="E311" s="454"/>
      <c r="F311" s="454"/>
      <c r="G311" s="452"/>
      <c r="H311" s="452"/>
      <c r="I311" s="454"/>
      <c r="J311" s="454"/>
      <c r="K311" s="454"/>
      <c r="L311" s="452"/>
    </row>
    <row r="312" spans="1:12" x14ac:dyDescent="0.3">
      <c r="A312" s="442">
        <f t="shared" si="4"/>
        <v>0</v>
      </c>
      <c r="B312" s="453"/>
      <c r="C312" s="454"/>
      <c r="D312" s="452"/>
      <c r="E312" s="454"/>
      <c r="F312" s="454"/>
      <c r="G312" s="452"/>
      <c r="H312" s="452"/>
      <c r="I312" s="454"/>
      <c r="J312" s="454"/>
      <c r="K312" s="454"/>
      <c r="L312" s="452"/>
    </row>
    <row r="313" spans="1:12" x14ac:dyDescent="0.3">
      <c r="A313" s="442">
        <f t="shared" si="4"/>
        <v>0</v>
      </c>
      <c r="B313" s="453"/>
      <c r="C313" s="454"/>
      <c r="D313" s="452"/>
      <c r="E313" s="454"/>
      <c r="F313" s="454"/>
      <c r="G313" s="452"/>
      <c r="H313" s="452"/>
      <c r="I313" s="454"/>
      <c r="J313" s="454"/>
      <c r="K313" s="454"/>
      <c r="L313" s="452"/>
    </row>
    <row r="314" spans="1:12" x14ac:dyDescent="0.3">
      <c r="A314" s="442">
        <f t="shared" si="4"/>
        <v>0</v>
      </c>
      <c r="B314" s="453"/>
      <c r="C314" s="454"/>
      <c r="D314" s="452"/>
      <c r="E314" s="454"/>
      <c r="F314" s="454"/>
      <c r="G314" s="452"/>
      <c r="H314" s="452"/>
      <c r="I314" s="454"/>
      <c r="J314" s="454"/>
      <c r="K314" s="452"/>
      <c r="L314" s="452"/>
    </row>
    <row r="315" spans="1:12" x14ac:dyDescent="0.3">
      <c r="A315" s="442">
        <f t="shared" si="4"/>
        <v>0</v>
      </c>
      <c r="B315" s="453"/>
      <c r="C315" s="454"/>
      <c r="D315" s="452"/>
      <c r="E315" s="454"/>
      <c r="F315" s="454"/>
      <c r="G315" s="452"/>
      <c r="H315" s="452"/>
      <c r="I315" s="454"/>
      <c r="J315" s="454"/>
      <c r="K315" s="454"/>
      <c r="L315" s="452"/>
    </row>
    <row r="316" spans="1:12" x14ac:dyDescent="0.3">
      <c r="A316" s="442">
        <f t="shared" si="4"/>
        <v>0</v>
      </c>
      <c r="B316" s="453"/>
      <c r="C316" s="454"/>
      <c r="D316" s="452"/>
      <c r="E316" s="454"/>
      <c r="F316" s="454"/>
      <c r="G316" s="452"/>
      <c r="H316" s="452"/>
      <c r="I316" s="454"/>
      <c r="J316" s="454"/>
      <c r="K316" s="454"/>
      <c r="L316" s="452"/>
    </row>
    <row r="317" spans="1:12" x14ac:dyDescent="0.3">
      <c r="A317" s="442">
        <f t="shared" si="4"/>
        <v>0</v>
      </c>
      <c r="B317" s="453"/>
      <c r="C317" s="454"/>
      <c r="D317" s="452"/>
      <c r="E317" s="454"/>
      <c r="F317" s="454"/>
      <c r="G317" s="452"/>
      <c r="H317" s="452"/>
      <c r="I317" s="454"/>
      <c r="J317" s="454"/>
      <c r="K317" s="454"/>
      <c r="L317" s="452"/>
    </row>
    <row r="318" spans="1:12" x14ac:dyDescent="0.3">
      <c r="A318" s="442">
        <f t="shared" si="4"/>
        <v>0</v>
      </c>
      <c r="B318" s="453"/>
      <c r="C318" s="454"/>
      <c r="D318" s="452"/>
      <c r="E318" s="454"/>
      <c r="F318" s="454"/>
      <c r="G318" s="452"/>
      <c r="H318" s="452"/>
      <c r="I318" s="454"/>
      <c r="J318" s="454"/>
      <c r="K318" s="454"/>
      <c r="L318" s="452"/>
    </row>
    <row r="319" spans="1:12" x14ac:dyDescent="0.3">
      <c r="A319" s="442">
        <f t="shared" si="4"/>
        <v>0</v>
      </c>
      <c r="B319" s="453"/>
      <c r="C319" s="454"/>
      <c r="D319" s="452"/>
      <c r="E319" s="454"/>
      <c r="F319" s="454"/>
      <c r="G319" s="452"/>
      <c r="H319" s="452"/>
      <c r="I319" s="454"/>
      <c r="J319" s="454"/>
      <c r="K319" s="454"/>
      <c r="L319" s="452"/>
    </row>
    <row r="320" spans="1:12" x14ac:dyDescent="0.3">
      <c r="A320" s="442">
        <f t="shared" si="4"/>
        <v>0</v>
      </c>
      <c r="B320" s="453"/>
      <c r="C320" s="454"/>
      <c r="D320" s="452"/>
      <c r="E320" s="454"/>
      <c r="F320" s="454"/>
      <c r="G320" s="452"/>
      <c r="H320" s="452"/>
      <c r="I320" s="454"/>
      <c r="J320" s="454"/>
      <c r="K320" s="454"/>
      <c r="L320" s="452"/>
    </row>
    <row r="321" spans="1:12" x14ac:dyDescent="0.3">
      <c r="A321" s="442">
        <f t="shared" si="4"/>
        <v>0</v>
      </c>
      <c r="B321" s="453"/>
      <c r="C321" s="454"/>
      <c r="D321" s="452"/>
      <c r="E321" s="454"/>
      <c r="F321" s="454"/>
      <c r="G321" s="452"/>
      <c r="H321" s="452"/>
      <c r="I321" s="454"/>
      <c r="J321" s="454"/>
      <c r="K321" s="454"/>
      <c r="L321" s="452"/>
    </row>
    <row r="322" spans="1:12" x14ac:dyDescent="0.3">
      <c r="A322" s="442">
        <f t="shared" si="4"/>
        <v>0</v>
      </c>
      <c r="B322" s="453"/>
      <c r="C322" s="454"/>
      <c r="D322" s="452"/>
      <c r="E322" s="454"/>
      <c r="F322" s="454"/>
      <c r="G322" s="452"/>
      <c r="H322" s="452"/>
      <c r="I322" s="454"/>
      <c r="J322" s="454"/>
      <c r="K322" s="452"/>
      <c r="L322" s="452"/>
    </row>
    <row r="323" spans="1:12" x14ac:dyDescent="0.3">
      <c r="A323" s="442">
        <f t="shared" si="4"/>
        <v>0</v>
      </c>
      <c r="B323" s="453"/>
      <c r="C323" s="454"/>
      <c r="D323" s="452"/>
      <c r="E323" s="454"/>
      <c r="F323" s="454"/>
      <c r="G323" s="452"/>
      <c r="H323" s="452"/>
      <c r="I323" s="454"/>
      <c r="J323" s="454"/>
      <c r="K323" s="454"/>
      <c r="L323" s="452"/>
    </row>
    <row r="324" spans="1:12" x14ac:dyDescent="0.3">
      <c r="A324" s="442">
        <f t="shared" si="4"/>
        <v>0</v>
      </c>
      <c r="B324" s="453"/>
      <c r="C324" s="454"/>
      <c r="D324" s="452"/>
      <c r="E324" s="454"/>
      <c r="F324" s="454"/>
      <c r="G324" s="452"/>
      <c r="H324" s="452"/>
      <c r="I324" s="454"/>
      <c r="J324" s="454"/>
      <c r="K324" s="454"/>
      <c r="L324" s="452"/>
    </row>
    <row r="325" spans="1:12" x14ac:dyDescent="0.3">
      <c r="A325" s="442">
        <f t="shared" si="4"/>
        <v>0</v>
      </c>
      <c r="B325" s="453"/>
      <c r="C325" s="454"/>
      <c r="D325" s="452"/>
      <c r="E325" s="454"/>
      <c r="F325" s="454"/>
      <c r="G325" s="452"/>
      <c r="H325" s="452"/>
      <c r="I325" s="454"/>
      <c r="J325" s="454"/>
      <c r="K325" s="452"/>
      <c r="L325" s="452"/>
    </row>
    <row r="326" spans="1:12" x14ac:dyDescent="0.3">
      <c r="A326" s="442">
        <f t="shared" si="4"/>
        <v>0</v>
      </c>
      <c r="B326" s="453"/>
      <c r="C326" s="454"/>
      <c r="D326" s="452"/>
      <c r="E326" s="454"/>
      <c r="F326" s="454"/>
      <c r="G326" s="452"/>
      <c r="H326" s="452"/>
      <c r="I326" s="454"/>
      <c r="J326" s="454"/>
      <c r="K326" s="452"/>
      <c r="L326" s="452"/>
    </row>
    <row r="327" spans="1:12" x14ac:dyDescent="0.3">
      <c r="A327" s="442">
        <f t="shared" si="4"/>
        <v>0</v>
      </c>
      <c r="B327" s="453"/>
      <c r="C327" s="454"/>
      <c r="D327" s="452"/>
      <c r="E327" s="454"/>
      <c r="F327" s="454"/>
      <c r="G327" s="452"/>
      <c r="H327" s="452"/>
      <c r="I327" s="454"/>
      <c r="J327" s="454"/>
      <c r="K327" s="454"/>
      <c r="L327" s="452"/>
    </row>
    <row r="328" spans="1:12" x14ac:dyDescent="0.3">
      <c r="A328" s="442">
        <f t="shared" si="4"/>
        <v>0</v>
      </c>
      <c r="B328" s="453"/>
      <c r="C328" s="454"/>
      <c r="D328" s="452"/>
      <c r="E328" s="454"/>
      <c r="F328" s="454"/>
      <c r="G328" s="452"/>
      <c r="H328" s="452"/>
      <c r="I328" s="454"/>
      <c r="J328" s="454"/>
      <c r="K328" s="454"/>
      <c r="L328" s="452"/>
    </row>
    <row r="329" spans="1:12" x14ac:dyDescent="0.3">
      <c r="A329" s="442">
        <f t="shared" si="4"/>
        <v>0</v>
      </c>
      <c r="B329" s="453"/>
      <c r="C329" s="454"/>
      <c r="D329" s="452"/>
      <c r="E329" s="454"/>
      <c r="F329" s="454"/>
      <c r="G329" s="452"/>
      <c r="H329" s="452"/>
      <c r="I329" s="454"/>
      <c r="J329" s="454"/>
      <c r="K329" s="454"/>
      <c r="L329" s="452"/>
    </row>
    <row r="330" spans="1:12" x14ac:dyDescent="0.3">
      <c r="A330" s="442">
        <f t="shared" si="4"/>
        <v>0</v>
      </c>
      <c r="B330" s="453"/>
      <c r="C330" s="454"/>
      <c r="D330" s="452"/>
      <c r="E330" s="454"/>
      <c r="F330" s="454"/>
      <c r="G330" s="452"/>
      <c r="H330" s="452"/>
      <c r="I330" s="454"/>
      <c r="J330" s="454"/>
      <c r="K330" s="454"/>
      <c r="L330" s="452"/>
    </row>
    <row r="331" spans="1:12" x14ac:dyDescent="0.3">
      <c r="A331" s="442">
        <f t="shared" si="4"/>
        <v>0</v>
      </c>
      <c r="B331" s="453"/>
      <c r="C331" s="454"/>
      <c r="D331" s="452"/>
      <c r="E331" s="454"/>
      <c r="F331" s="454"/>
      <c r="G331" s="452"/>
      <c r="H331" s="452"/>
      <c r="I331" s="454"/>
      <c r="J331" s="454"/>
      <c r="K331" s="454"/>
      <c r="L331" s="452"/>
    </row>
    <row r="332" spans="1:12" x14ac:dyDescent="0.3">
      <c r="A332" s="442">
        <f t="shared" si="4"/>
        <v>0</v>
      </c>
      <c r="B332" s="453"/>
      <c r="C332" s="454"/>
      <c r="D332" s="452"/>
      <c r="E332" s="454"/>
      <c r="F332" s="454"/>
      <c r="G332" s="452"/>
      <c r="H332" s="452"/>
      <c r="I332" s="454"/>
      <c r="J332" s="454"/>
      <c r="K332" s="454"/>
      <c r="L332" s="452"/>
    </row>
    <row r="333" spans="1:12" x14ac:dyDescent="0.3">
      <c r="A333" s="442">
        <f t="shared" si="4"/>
        <v>0</v>
      </c>
      <c r="B333" s="453"/>
      <c r="C333" s="454"/>
      <c r="D333" s="452"/>
      <c r="E333" s="454"/>
      <c r="F333" s="454"/>
      <c r="G333" s="452"/>
      <c r="H333" s="452"/>
      <c r="I333" s="454"/>
      <c r="J333" s="454"/>
      <c r="K333" s="454"/>
      <c r="L333" s="452"/>
    </row>
    <row r="334" spans="1:12" x14ac:dyDescent="0.3">
      <c r="A334" s="442">
        <f t="shared" si="4"/>
        <v>0</v>
      </c>
      <c r="B334" s="453"/>
      <c r="C334" s="454"/>
      <c r="D334" s="452"/>
      <c r="E334" s="454"/>
      <c r="F334" s="454"/>
      <c r="G334" s="452"/>
      <c r="H334" s="452"/>
      <c r="I334" s="454"/>
      <c r="J334" s="454"/>
      <c r="K334" s="452"/>
      <c r="L334" s="452"/>
    </row>
    <row r="335" spans="1:12" x14ac:dyDescent="0.3">
      <c r="A335" s="442">
        <f t="shared" ref="A335:A398" si="5">IF(D335="",0,SUBSTITUTE(LOWER(D335),"km","")+0)</f>
        <v>0</v>
      </c>
      <c r="B335" s="453"/>
      <c r="C335" s="454"/>
      <c r="D335" s="452"/>
      <c r="E335" s="454"/>
      <c r="F335" s="454"/>
      <c r="G335" s="452"/>
      <c r="H335" s="452"/>
      <c r="I335" s="454"/>
      <c r="J335" s="454"/>
      <c r="K335" s="454"/>
      <c r="L335" s="452"/>
    </row>
    <row r="336" spans="1:12" x14ac:dyDescent="0.3">
      <c r="A336" s="442">
        <f t="shared" si="5"/>
        <v>0</v>
      </c>
      <c r="B336" s="453"/>
      <c r="C336" s="454"/>
      <c r="D336" s="452"/>
      <c r="E336" s="454"/>
      <c r="F336" s="454"/>
      <c r="G336" s="452"/>
      <c r="H336" s="452"/>
      <c r="I336" s="454"/>
      <c r="J336" s="454"/>
      <c r="K336" s="454"/>
      <c r="L336" s="452"/>
    </row>
    <row r="337" spans="1:12" x14ac:dyDescent="0.3">
      <c r="A337" s="442">
        <f t="shared" si="5"/>
        <v>0</v>
      </c>
      <c r="B337" s="453"/>
      <c r="C337" s="454"/>
      <c r="D337" s="452"/>
      <c r="E337" s="454"/>
      <c r="F337" s="454"/>
      <c r="G337" s="452"/>
      <c r="H337" s="452"/>
      <c r="I337" s="454"/>
      <c r="J337" s="454"/>
      <c r="K337" s="454"/>
      <c r="L337" s="452"/>
    </row>
    <row r="338" spans="1:12" x14ac:dyDescent="0.3">
      <c r="A338" s="442">
        <f t="shared" si="5"/>
        <v>0</v>
      </c>
      <c r="B338" s="453"/>
      <c r="C338" s="454"/>
      <c r="D338" s="452"/>
      <c r="E338" s="454"/>
      <c r="F338" s="454"/>
      <c r="G338" s="452"/>
      <c r="H338" s="452"/>
      <c r="I338" s="454"/>
      <c r="J338" s="454"/>
      <c r="K338" s="454"/>
      <c r="L338" s="452"/>
    </row>
    <row r="339" spans="1:12" x14ac:dyDescent="0.3">
      <c r="A339" s="442">
        <f t="shared" si="5"/>
        <v>0</v>
      </c>
      <c r="B339" s="453"/>
      <c r="C339" s="454"/>
      <c r="D339" s="452"/>
      <c r="E339" s="454"/>
      <c r="F339" s="454"/>
      <c r="G339" s="452"/>
      <c r="H339" s="452"/>
      <c r="I339" s="454"/>
      <c r="J339" s="454"/>
      <c r="K339" s="454"/>
      <c r="L339" s="452"/>
    </row>
    <row r="340" spans="1:12" x14ac:dyDescent="0.3">
      <c r="A340" s="442">
        <f t="shared" si="5"/>
        <v>0</v>
      </c>
      <c r="B340" s="453"/>
      <c r="C340" s="454"/>
      <c r="D340" s="452"/>
      <c r="E340" s="454"/>
      <c r="F340" s="454"/>
      <c r="G340" s="452"/>
      <c r="H340" s="452"/>
      <c r="I340" s="454"/>
      <c r="J340" s="454"/>
      <c r="K340" s="454"/>
      <c r="L340" s="452"/>
    </row>
    <row r="341" spans="1:12" x14ac:dyDescent="0.3">
      <c r="A341" s="442">
        <f t="shared" si="5"/>
        <v>0</v>
      </c>
      <c r="B341" s="453"/>
      <c r="C341" s="454"/>
      <c r="D341" s="452"/>
      <c r="E341" s="454"/>
      <c r="F341" s="454"/>
      <c r="G341" s="452"/>
      <c r="H341" s="452"/>
      <c r="I341" s="454"/>
      <c r="J341" s="454"/>
      <c r="K341" s="454"/>
      <c r="L341" s="452"/>
    </row>
    <row r="342" spans="1:12" x14ac:dyDescent="0.3">
      <c r="A342" s="442">
        <f t="shared" si="5"/>
        <v>0</v>
      </c>
      <c r="B342" s="453"/>
      <c r="C342" s="454"/>
      <c r="D342" s="452"/>
      <c r="E342" s="454"/>
      <c r="F342" s="454"/>
      <c r="G342" s="452"/>
      <c r="H342" s="452"/>
      <c r="I342" s="454"/>
      <c r="J342" s="454"/>
      <c r="K342" s="452"/>
      <c r="L342" s="452"/>
    </row>
    <row r="343" spans="1:12" x14ac:dyDescent="0.3">
      <c r="A343" s="442">
        <f t="shared" si="5"/>
        <v>0</v>
      </c>
      <c r="B343" s="453"/>
      <c r="C343" s="454"/>
      <c r="D343" s="452"/>
      <c r="E343" s="454"/>
      <c r="F343" s="454"/>
      <c r="G343" s="452"/>
      <c r="H343" s="452"/>
      <c r="I343" s="454"/>
      <c r="J343" s="454"/>
      <c r="K343" s="454"/>
      <c r="L343" s="452"/>
    </row>
    <row r="344" spans="1:12" x14ac:dyDescent="0.3">
      <c r="A344" s="442">
        <f t="shared" si="5"/>
        <v>0</v>
      </c>
      <c r="B344" s="453"/>
      <c r="C344" s="454"/>
      <c r="D344" s="452"/>
      <c r="E344" s="454"/>
      <c r="F344" s="454"/>
      <c r="G344" s="452"/>
      <c r="H344" s="452"/>
      <c r="I344" s="454"/>
      <c r="J344" s="454"/>
      <c r="K344" s="454"/>
      <c r="L344" s="452"/>
    </row>
    <row r="345" spans="1:12" x14ac:dyDescent="0.3">
      <c r="A345" s="442">
        <f t="shared" si="5"/>
        <v>0</v>
      </c>
      <c r="B345" s="453"/>
      <c r="C345" s="454"/>
      <c r="D345" s="452"/>
      <c r="E345" s="454"/>
      <c r="F345" s="454"/>
      <c r="G345" s="452"/>
      <c r="H345" s="452"/>
      <c r="I345" s="454"/>
      <c r="J345" s="454"/>
      <c r="K345" s="454"/>
      <c r="L345" s="452"/>
    </row>
    <row r="346" spans="1:12" x14ac:dyDescent="0.3">
      <c r="A346" s="442">
        <f t="shared" si="5"/>
        <v>0</v>
      </c>
      <c r="B346" s="453"/>
      <c r="C346" s="454"/>
      <c r="D346" s="452"/>
      <c r="E346" s="454"/>
      <c r="F346" s="454"/>
      <c r="G346" s="452"/>
      <c r="H346" s="452"/>
      <c r="I346" s="454"/>
      <c r="J346" s="454"/>
      <c r="K346" s="454"/>
      <c r="L346" s="452"/>
    </row>
    <row r="347" spans="1:12" x14ac:dyDescent="0.3">
      <c r="A347" s="442">
        <f t="shared" si="5"/>
        <v>0</v>
      </c>
      <c r="B347" s="453"/>
      <c r="C347" s="454"/>
      <c r="D347" s="452"/>
      <c r="E347" s="454"/>
      <c r="F347" s="454"/>
      <c r="G347" s="452"/>
      <c r="H347" s="452"/>
      <c r="I347" s="454"/>
      <c r="J347" s="454"/>
      <c r="K347" s="454"/>
      <c r="L347" s="452"/>
    </row>
    <row r="348" spans="1:12" x14ac:dyDescent="0.3">
      <c r="A348" s="442">
        <f t="shared" si="5"/>
        <v>0</v>
      </c>
      <c r="B348" s="453"/>
      <c r="C348" s="454"/>
      <c r="D348" s="452"/>
      <c r="E348" s="454"/>
      <c r="F348" s="454"/>
      <c r="G348" s="452"/>
      <c r="H348" s="452"/>
      <c r="I348" s="454"/>
      <c r="J348" s="454"/>
      <c r="K348" s="454"/>
      <c r="L348" s="452"/>
    </row>
    <row r="349" spans="1:12" x14ac:dyDescent="0.3">
      <c r="A349" s="442">
        <f t="shared" si="5"/>
        <v>0</v>
      </c>
      <c r="B349" s="453"/>
      <c r="C349" s="454"/>
      <c r="D349" s="452"/>
      <c r="E349" s="454"/>
      <c r="F349" s="454"/>
      <c r="G349" s="452"/>
      <c r="H349" s="452"/>
      <c r="I349" s="454"/>
      <c r="J349" s="454"/>
      <c r="K349" s="454"/>
      <c r="L349" s="452"/>
    </row>
    <row r="350" spans="1:12" x14ac:dyDescent="0.3">
      <c r="A350" s="442">
        <f t="shared" si="5"/>
        <v>0</v>
      </c>
      <c r="B350" s="453"/>
      <c r="C350" s="454"/>
      <c r="D350" s="452"/>
      <c r="E350" s="454"/>
      <c r="F350" s="454"/>
      <c r="G350" s="452"/>
      <c r="H350" s="452"/>
      <c r="I350" s="454"/>
      <c r="J350" s="454"/>
      <c r="K350" s="452"/>
      <c r="L350" s="452"/>
    </row>
    <row r="351" spans="1:12" x14ac:dyDescent="0.3">
      <c r="A351" s="442">
        <f t="shared" si="5"/>
        <v>0</v>
      </c>
      <c r="B351" s="453"/>
      <c r="C351" s="454"/>
      <c r="D351" s="452"/>
      <c r="E351" s="454"/>
      <c r="F351" s="454"/>
      <c r="G351" s="452"/>
      <c r="H351" s="452"/>
      <c r="I351" s="454"/>
      <c r="J351" s="454"/>
      <c r="K351" s="454"/>
      <c r="L351" s="452"/>
    </row>
    <row r="352" spans="1:12" x14ac:dyDescent="0.3">
      <c r="A352" s="442">
        <f t="shared" si="5"/>
        <v>0</v>
      </c>
      <c r="B352" s="453"/>
      <c r="C352" s="454"/>
      <c r="D352" s="452"/>
      <c r="E352" s="454"/>
      <c r="F352" s="454"/>
      <c r="G352" s="452"/>
      <c r="H352" s="452"/>
      <c r="I352" s="454"/>
      <c r="J352" s="454"/>
      <c r="K352" s="454"/>
      <c r="L352" s="452"/>
    </row>
    <row r="353" spans="1:12" x14ac:dyDescent="0.3">
      <c r="A353" s="442">
        <f t="shared" si="5"/>
        <v>0</v>
      </c>
      <c r="B353" s="453"/>
      <c r="C353" s="454"/>
      <c r="D353" s="452"/>
      <c r="E353" s="454"/>
      <c r="F353" s="454"/>
      <c r="G353" s="452"/>
      <c r="H353" s="452"/>
      <c r="I353" s="454"/>
      <c r="J353" s="454"/>
      <c r="K353" s="454"/>
      <c r="L353" s="452"/>
    </row>
    <row r="354" spans="1:12" x14ac:dyDescent="0.3">
      <c r="A354" s="442">
        <f t="shared" si="5"/>
        <v>0</v>
      </c>
      <c r="B354" s="453"/>
      <c r="C354" s="454"/>
      <c r="D354" s="452"/>
      <c r="E354" s="454"/>
      <c r="F354" s="454"/>
      <c r="G354" s="452"/>
      <c r="H354" s="452"/>
      <c r="I354" s="454"/>
      <c r="J354" s="454"/>
      <c r="K354" s="454"/>
      <c r="L354" s="452"/>
    </row>
    <row r="355" spans="1:12" x14ac:dyDescent="0.3">
      <c r="A355" s="442">
        <f t="shared" si="5"/>
        <v>0</v>
      </c>
      <c r="B355" s="453"/>
      <c r="C355" s="454"/>
      <c r="D355" s="452"/>
      <c r="E355" s="454"/>
      <c r="F355" s="454"/>
      <c r="G355" s="452"/>
      <c r="H355" s="452"/>
      <c r="I355" s="454"/>
      <c r="J355" s="454"/>
      <c r="K355" s="454"/>
      <c r="L355" s="452"/>
    </row>
    <row r="356" spans="1:12" x14ac:dyDescent="0.3">
      <c r="A356" s="442">
        <f t="shared" si="5"/>
        <v>0</v>
      </c>
      <c r="B356" s="453"/>
      <c r="C356" s="454"/>
      <c r="D356" s="452"/>
      <c r="E356" s="454"/>
      <c r="F356" s="454"/>
      <c r="G356" s="452"/>
      <c r="H356" s="452"/>
      <c r="I356" s="454"/>
      <c r="J356" s="454"/>
      <c r="K356" s="452"/>
      <c r="L356" s="452"/>
    </row>
    <row r="357" spans="1:12" x14ac:dyDescent="0.3">
      <c r="A357" s="442">
        <f t="shared" si="5"/>
        <v>0</v>
      </c>
      <c r="B357" s="453"/>
      <c r="C357" s="454"/>
      <c r="D357" s="452"/>
      <c r="E357" s="454"/>
      <c r="F357" s="454"/>
      <c r="G357" s="452"/>
      <c r="H357" s="452"/>
      <c r="I357" s="454"/>
      <c r="J357" s="454"/>
      <c r="K357" s="454"/>
      <c r="L357" s="452"/>
    </row>
    <row r="358" spans="1:12" x14ac:dyDescent="0.3">
      <c r="A358" s="442">
        <f t="shared" si="5"/>
        <v>0</v>
      </c>
      <c r="B358" s="453"/>
      <c r="C358" s="454"/>
      <c r="D358" s="452"/>
      <c r="E358" s="454"/>
      <c r="F358" s="454"/>
      <c r="G358" s="452"/>
      <c r="H358" s="452"/>
      <c r="I358" s="454"/>
      <c r="J358" s="454"/>
      <c r="K358" s="454"/>
      <c r="L358" s="452"/>
    </row>
    <row r="359" spans="1:12" x14ac:dyDescent="0.3">
      <c r="A359" s="442">
        <f t="shared" si="5"/>
        <v>0</v>
      </c>
      <c r="B359" s="453"/>
      <c r="C359" s="454"/>
      <c r="D359" s="452"/>
      <c r="E359" s="454"/>
      <c r="F359" s="454"/>
      <c r="G359" s="452"/>
      <c r="H359" s="452"/>
      <c r="I359" s="454"/>
      <c r="J359" s="454"/>
      <c r="K359" s="454"/>
      <c r="L359" s="452"/>
    </row>
    <row r="360" spans="1:12" x14ac:dyDescent="0.3">
      <c r="A360" s="442">
        <f t="shared" si="5"/>
        <v>0</v>
      </c>
      <c r="B360" s="453"/>
      <c r="C360" s="454"/>
      <c r="D360" s="452"/>
      <c r="E360" s="454"/>
      <c r="F360" s="454"/>
      <c r="G360" s="452"/>
      <c r="H360" s="452"/>
      <c r="I360" s="454"/>
      <c r="J360" s="454"/>
      <c r="K360" s="454"/>
      <c r="L360" s="452"/>
    </row>
    <row r="361" spans="1:12" x14ac:dyDescent="0.3">
      <c r="A361" s="442">
        <f t="shared" si="5"/>
        <v>0</v>
      </c>
      <c r="B361" s="453"/>
      <c r="C361" s="454"/>
      <c r="D361" s="452"/>
      <c r="E361" s="454"/>
      <c r="F361" s="454"/>
      <c r="G361" s="452"/>
      <c r="H361" s="452"/>
      <c r="I361" s="454"/>
      <c r="J361" s="454"/>
      <c r="K361" s="454"/>
      <c r="L361" s="452"/>
    </row>
    <row r="362" spans="1:12" x14ac:dyDescent="0.3">
      <c r="A362" s="442">
        <f t="shared" si="5"/>
        <v>0</v>
      </c>
      <c r="B362" s="453"/>
      <c r="C362" s="454"/>
      <c r="D362" s="452"/>
      <c r="E362" s="454"/>
      <c r="F362" s="454"/>
      <c r="G362" s="452"/>
      <c r="H362" s="452"/>
      <c r="I362" s="454"/>
      <c r="J362" s="454"/>
      <c r="K362" s="454"/>
      <c r="L362" s="452"/>
    </row>
    <row r="363" spans="1:12" x14ac:dyDescent="0.3">
      <c r="A363" s="442">
        <f t="shared" si="5"/>
        <v>0</v>
      </c>
      <c r="B363" s="453"/>
      <c r="C363" s="454"/>
      <c r="D363" s="452"/>
      <c r="E363" s="454"/>
      <c r="F363" s="454"/>
      <c r="G363" s="452"/>
      <c r="H363" s="452"/>
      <c r="I363" s="454"/>
      <c r="J363" s="454"/>
      <c r="K363" s="454"/>
      <c r="L363" s="452"/>
    </row>
    <row r="364" spans="1:12" x14ac:dyDescent="0.3">
      <c r="A364" s="442">
        <f t="shared" si="5"/>
        <v>0</v>
      </c>
      <c r="B364" s="453"/>
      <c r="C364" s="454"/>
      <c r="D364" s="452"/>
      <c r="E364" s="454"/>
      <c r="F364" s="454"/>
      <c r="G364" s="452"/>
      <c r="H364" s="452"/>
      <c r="I364" s="454"/>
      <c r="J364" s="454"/>
      <c r="K364" s="454"/>
      <c r="L364" s="452"/>
    </row>
    <row r="365" spans="1:12" x14ac:dyDescent="0.3">
      <c r="A365" s="442">
        <f t="shared" si="5"/>
        <v>0</v>
      </c>
      <c r="B365" s="453"/>
      <c r="C365" s="454"/>
      <c r="D365" s="452"/>
      <c r="E365" s="454"/>
      <c r="F365" s="454"/>
      <c r="G365" s="452"/>
      <c r="H365" s="452"/>
      <c r="I365" s="454"/>
      <c r="J365" s="454"/>
      <c r="K365" s="454"/>
      <c r="L365" s="452"/>
    </row>
    <row r="366" spans="1:12" x14ac:dyDescent="0.3">
      <c r="A366" s="442">
        <f t="shared" si="5"/>
        <v>0</v>
      </c>
      <c r="B366" s="453"/>
      <c r="C366" s="454"/>
      <c r="D366" s="452"/>
      <c r="E366" s="454"/>
      <c r="F366" s="454"/>
      <c r="G366" s="452"/>
      <c r="H366" s="452"/>
      <c r="I366" s="454"/>
      <c r="J366" s="454"/>
      <c r="K366" s="454"/>
      <c r="L366" s="452"/>
    </row>
    <row r="367" spans="1:12" x14ac:dyDescent="0.3">
      <c r="A367" s="442">
        <f t="shared" si="5"/>
        <v>0</v>
      </c>
      <c r="B367" s="453"/>
      <c r="C367" s="454"/>
      <c r="D367" s="452"/>
      <c r="E367" s="454"/>
      <c r="F367" s="454"/>
      <c r="G367" s="452"/>
      <c r="H367" s="452"/>
      <c r="I367" s="454"/>
      <c r="J367" s="454"/>
      <c r="K367" s="454"/>
      <c r="L367" s="452"/>
    </row>
    <row r="368" spans="1:12" x14ac:dyDescent="0.3">
      <c r="A368" s="442">
        <f t="shared" si="5"/>
        <v>0</v>
      </c>
      <c r="B368" s="453"/>
      <c r="C368" s="454"/>
      <c r="D368" s="452"/>
      <c r="E368" s="454"/>
      <c r="F368" s="454"/>
      <c r="G368" s="452"/>
      <c r="H368" s="452"/>
      <c r="I368" s="454"/>
      <c r="J368" s="454"/>
      <c r="K368" s="454"/>
      <c r="L368" s="452"/>
    </row>
    <row r="369" spans="1:12" x14ac:dyDescent="0.3">
      <c r="A369" s="442">
        <f t="shared" si="5"/>
        <v>0</v>
      </c>
      <c r="B369" s="453"/>
      <c r="C369" s="454"/>
      <c r="D369" s="452"/>
      <c r="E369" s="454"/>
      <c r="F369" s="454"/>
      <c r="G369" s="452"/>
      <c r="H369" s="452"/>
      <c r="I369" s="454"/>
      <c r="J369" s="454"/>
      <c r="K369" s="454"/>
      <c r="L369" s="452"/>
    </row>
    <row r="370" spans="1:12" x14ac:dyDescent="0.3">
      <c r="A370" s="442">
        <f t="shared" si="5"/>
        <v>0</v>
      </c>
      <c r="B370" s="453"/>
      <c r="C370" s="454"/>
      <c r="D370" s="452"/>
      <c r="E370" s="454"/>
      <c r="F370" s="454"/>
      <c r="G370" s="452"/>
      <c r="H370" s="452"/>
      <c r="I370" s="454"/>
      <c r="J370" s="454"/>
      <c r="K370" s="454"/>
      <c r="L370" s="452"/>
    </row>
    <row r="371" spans="1:12" x14ac:dyDescent="0.3">
      <c r="A371" s="442">
        <f t="shared" si="5"/>
        <v>0</v>
      </c>
      <c r="B371" s="453"/>
      <c r="C371" s="454"/>
      <c r="D371" s="452"/>
      <c r="E371" s="454"/>
      <c r="F371" s="454"/>
      <c r="G371" s="452"/>
      <c r="H371" s="452"/>
      <c r="I371" s="454"/>
      <c r="J371" s="454"/>
      <c r="K371" s="454"/>
      <c r="L371" s="452"/>
    </row>
    <row r="372" spans="1:12" x14ac:dyDescent="0.3">
      <c r="A372" s="442">
        <f t="shared" si="5"/>
        <v>0</v>
      </c>
      <c r="B372" s="453"/>
      <c r="C372" s="454"/>
      <c r="D372" s="452"/>
      <c r="E372" s="454"/>
      <c r="F372" s="454"/>
      <c r="G372" s="452"/>
      <c r="H372" s="452"/>
      <c r="I372" s="454"/>
      <c r="J372" s="454"/>
      <c r="K372" s="454"/>
      <c r="L372" s="452"/>
    </row>
    <row r="373" spans="1:12" x14ac:dyDescent="0.3">
      <c r="A373" s="442">
        <f t="shared" si="5"/>
        <v>0</v>
      </c>
      <c r="B373" s="453"/>
      <c r="C373" s="454"/>
      <c r="D373" s="452"/>
      <c r="E373" s="454"/>
      <c r="F373" s="454"/>
      <c r="G373" s="452"/>
      <c r="H373" s="452"/>
      <c r="I373" s="454"/>
      <c r="J373" s="454"/>
      <c r="K373" s="454"/>
      <c r="L373" s="452"/>
    </row>
    <row r="374" spans="1:12" x14ac:dyDescent="0.3">
      <c r="A374" s="442">
        <f t="shared" si="5"/>
        <v>0</v>
      </c>
      <c r="B374" s="453"/>
      <c r="C374" s="454"/>
      <c r="D374" s="452"/>
      <c r="E374" s="454"/>
      <c r="F374" s="454"/>
      <c r="G374" s="452"/>
      <c r="H374" s="452"/>
      <c r="I374" s="454"/>
      <c r="J374" s="454"/>
      <c r="K374" s="454"/>
      <c r="L374" s="452"/>
    </row>
    <row r="375" spans="1:12" x14ac:dyDescent="0.3">
      <c r="A375" s="442">
        <f t="shared" si="5"/>
        <v>0</v>
      </c>
      <c r="B375" s="453"/>
      <c r="C375" s="454"/>
      <c r="D375" s="452"/>
      <c r="E375" s="454"/>
      <c r="F375" s="454"/>
      <c r="G375" s="454"/>
      <c r="H375" s="452"/>
      <c r="I375" s="454"/>
      <c r="J375" s="454"/>
      <c r="K375" s="454"/>
      <c r="L375" s="454"/>
    </row>
    <row r="376" spans="1:12" x14ac:dyDescent="0.3">
      <c r="A376" s="442">
        <f t="shared" si="5"/>
        <v>0</v>
      </c>
      <c r="B376" s="453"/>
      <c r="C376" s="454"/>
      <c r="D376" s="452"/>
      <c r="E376" s="454"/>
      <c r="F376" s="454"/>
      <c r="G376" s="452"/>
      <c r="H376" s="452"/>
      <c r="I376" s="454"/>
      <c r="J376" s="454"/>
      <c r="K376" s="454"/>
      <c r="L376" s="452"/>
    </row>
    <row r="377" spans="1:12" x14ac:dyDescent="0.3">
      <c r="A377" s="442">
        <f t="shared" si="5"/>
        <v>0</v>
      </c>
      <c r="B377" s="453"/>
      <c r="C377" s="454"/>
      <c r="D377" s="452"/>
      <c r="E377" s="454"/>
      <c r="F377" s="454"/>
      <c r="G377" s="452"/>
      <c r="H377" s="452"/>
      <c r="I377" s="454"/>
      <c r="J377" s="454"/>
      <c r="K377" s="454"/>
      <c r="L377" s="452"/>
    </row>
    <row r="378" spans="1:12" x14ac:dyDescent="0.3">
      <c r="A378" s="442">
        <f t="shared" si="5"/>
        <v>0</v>
      </c>
      <c r="B378" s="453"/>
      <c r="C378" s="454"/>
      <c r="D378" s="452"/>
      <c r="E378" s="454"/>
      <c r="F378" s="454"/>
      <c r="G378" s="452"/>
      <c r="H378" s="452"/>
      <c r="I378" s="454"/>
      <c r="J378" s="454"/>
      <c r="K378" s="454"/>
      <c r="L378" s="452"/>
    </row>
    <row r="379" spans="1:12" x14ac:dyDescent="0.3">
      <c r="A379" s="442">
        <f t="shared" si="5"/>
        <v>0</v>
      </c>
      <c r="B379" s="453"/>
      <c r="C379" s="454"/>
      <c r="D379" s="452"/>
      <c r="E379" s="454"/>
      <c r="F379" s="454"/>
      <c r="G379" s="452"/>
      <c r="H379" s="452"/>
      <c r="I379" s="454"/>
      <c r="J379" s="454"/>
      <c r="K379" s="452"/>
      <c r="L379" s="452"/>
    </row>
    <row r="380" spans="1:12" x14ac:dyDescent="0.3">
      <c r="A380" s="442">
        <f t="shared" si="5"/>
        <v>0</v>
      </c>
      <c r="B380" s="453"/>
      <c r="C380" s="454"/>
      <c r="D380" s="452"/>
      <c r="E380" s="454"/>
      <c r="F380" s="454"/>
      <c r="G380" s="452"/>
      <c r="H380" s="452"/>
      <c r="I380" s="454"/>
      <c r="J380" s="454"/>
      <c r="K380" s="454"/>
      <c r="L380" s="452"/>
    </row>
    <row r="381" spans="1:12" x14ac:dyDescent="0.3">
      <c r="A381" s="442">
        <f t="shared" si="5"/>
        <v>0</v>
      </c>
      <c r="B381" s="453"/>
      <c r="C381" s="454"/>
      <c r="D381" s="452"/>
      <c r="E381" s="454"/>
      <c r="F381" s="454"/>
      <c r="G381" s="452"/>
      <c r="H381" s="452"/>
      <c r="I381" s="454"/>
      <c r="J381" s="454"/>
      <c r="K381" s="454"/>
      <c r="L381" s="452"/>
    </row>
    <row r="382" spans="1:12" x14ac:dyDescent="0.3">
      <c r="A382" s="442">
        <f t="shared" si="5"/>
        <v>0</v>
      </c>
      <c r="B382" s="453"/>
      <c r="C382" s="454"/>
      <c r="D382" s="452"/>
      <c r="E382" s="454"/>
      <c r="F382" s="454"/>
      <c r="G382" s="452"/>
      <c r="H382" s="452"/>
      <c r="I382" s="454"/>
      <c r="J382" s="454"/>
      <c r="K382" s="454"/>
      <c r="L382" s="452"/>
    </row>
    <row r="383" spans="1:12" x14ac:dyDescent="0.3">
      <c r="A383" s="442">
        <f t="shared" si="5"/>
        <v>0</v>
      </c>
      <c r="B383" s="453"/>
      <c r="C383" s="454"/>
      <c r="D383" s="452"/>
      <c r="E383" s="454"/>
      <c r="F383" s="454"/>
      <c r="G383" s="452"/>
      <c r="H383" s="452"/>
      <c r="I383" s="454"/>
      <c r="J383" s="454"/>
      <c r="K383" s="454"/>
      <c r="L383" s="452"/>
    </row>
    <row r="384" spans="1:12" x14ac:dyDescent="0.3">
      <c r="A384" s="442">
        <f t="shared" si="5"/>
        <v>0</v>
      </c>
      <c r="B384" s="453"/>
      <c r="C384" s="454"/>
      <c r="D384" s="452"/>
      <c r="E384" s="454"/>
      <c r="F384" s="454"/>
      <c r="G384" s="452"/>
      <c r="H384" s="452"/>
      <c r="I384" s="454"/>
      <c r="J384" s="454"/>
      <c r="K384" s="452"/>
      <c r="L384" s="452"/>
    </row>
    <row r="385" spans="1:12" x14ac:dyDescent="0.3">
      <c r="A385" s="442">
        <f t="shared" si="5"/>
        <v>0</v>
      </c>
      <c r="B385" s="453"/>
      <c r="C385" s="454"/>
      <c r="D385" s="452"/>
      <c r="E385" s="454"/>
      <c r="F385" s="454"/>
      <c r="G385" s="452"/>
      <c r="H385" s="452"/>
      <c r="I385" s="454"/>
      <c r="J385" s="454"/>
      <c r="K385" s="454"/>
      <c r="L385" s="452"/>
    </row>
    <row r="386" spans="1:12" x14ac:dyDescent="0.3">
      <c r="A386" s="442">
        <f t="shared" si="5"/>
        <v>0</v>
      </c>
      <c r="B386" s="453"/>
      <c r="C386" s="454"/>
      <c r="D386" s="452"/>
      <c r="E386" s="454"/>
      <c r="F386" s="454"/>
      <c r="G386" s="452"/>
      <c r="H386" s="452"/>
      <c r="I386" s="454"/>
      <c r="J386" s="454"/>
      <c r="K386" s="454"/>
      <c r="L386" s="452"/>
    </row>
    <row r="387" spans="1:12" x14ac:dyDescent="0.3">
      <c r="A387" s="442">
        <f t="shared" si="5"/>
        <v>0</v>
      </c>
      <c r="B387" s="453"/>
      <c r="C387" s="454"/>
      <c r="D387" s="452"/>
      <c r="E387" s="454"/>
      <c r="F387" s="454"/>
      <c r="G387" s="452"/>
      <c r="H387" s="452"/>
      <c r="I387" s="454"/>
      <c r="J387" s="454"/>
      <c r="K387" s="454"/>
      <c r="L387" s="452"/>
    </row>
    <row r="388" spans="1:12" x14ac:dyDescent="0.3">
      <c r="A388" s="442">
        <f t="shared" si="5"/>
        <v>0</v>
      </c>
      <c r="B388" s="453"/>
      <c r="C388" s="454"/>
      <c r="D388" s="452"/>
      <c r="E388" s="454"/>
      <c r="F388" s="454"/>
      <c r="G388" s="452"/>
      <c r="H388" s="452"/>
      <c r="I388" s="454"/>
      <c r="J388" s="454"/>
      <c r="K388" s="454"/>
      <c r="L388" s="452"/>
    </row>
    <row r="389" spans="1:12" x14ac:dyDescent="0.3">
      <c r="A389" s="442">
        <f t="shared" si="5"/>
        <v>0</v>
      </c>
      <c r="B389" s="453"/>
      <c r="C389" s="454"/>
      <c r="D389" s="452"/>
      <c r="E389" s="454"/>
      <c r="F389" s="454"/>
      <c r="G389" s="452"/>
      <c r="H389" s="452"/>
      <c r="I389" s="454"/>
      <c r="J389" s="454"/>
      <c r="K389" s="454"/>
      <c r="L389" s="452"/>
    </row>
    <row r="390" spans="1:12" x14ac:dyDescent="0.3">
      <c r="A390" s="442">
        <f t="shared" si="5"/>
        <v>0</v>
      </c>
      <c r="B390" s="453"/>
      <c r="C390" s="454"/>
      <c r="D390" s="452"/>
      <c r="E390" s="454"/>
      <c r="F390" s="454"/>
      <c r="G390" s="452"/>
      <c r="H390" s="452"/>
      <c r="I390" s="454"/>
      <c r="J390" s="454"/>
      <c r="K390" s="454"/>
      <c r="L390" s="452"/>
    </row>
    <row r="391" spans="1:12" x14ac:dyDescent="0.3">
      <c r="A391" s="442">
        <f t="shared" si="5"/>
        <v>0</v>
      </c>
      <c r="B391" s="453"/>
      <c r="C391" s="454"/>
      <c r="D391" s="452"/>
      <c r="E391" s="454"/>
      <c r="F391" s="454"/>
      <c r="G391" s="452"/>
      <c r="H391" s="452"/>
      <c r="I391" s="454"/>
      <c r="J391" s="454"/>
      <c r="K391" s="454"/>
      <c r="L391" s="452"/>
    </row>
    <row r="392" spans="1:12" x14ac:dyDescent="0.3">
      <c r="A392" s="442">
        <f t="shared" si="5"/>
        <v>0</v>
      </c>
      <c r="B392" s="453"/>
      <c r="C392" s="454"/>
      <c r="D392" s="452"/>
      <c r="E392" s="454"/>
      <c r="F392" s="454"/>
      <c r="G392" s="452"/>
      <c r="H392" s="452"/>
      <c r="I392" s="454"/>
      <c r="J392" s="454"/>
      <c r="K392" s="454"/>
      <c r="L392" s="452"/>
    </row>
    <row r="393" spans="1:12" x14ac:dyDescent="0.3">
      <c r="A393" s="442">
        <f t="shared" si="5"/>
        <v>0</v>
      </c>
      <c r="B393" s="453"/>
      <c r="C393" s="454"/>
      <c r="D393" s="452"/>
      <c r="E393" s="454"/>
      <c r="F393" s="454"/>
      <c r="G393" s="452"/>
      <c r="H393" s="452"/>
      <c r="I393" s="454"/>
      <c r="J393" s="454"/>
      <c r="K393" s="454"/>
      <c r="L393" s="452"/>
    </row>
    <row r="394" spans="1:12" x14ac:dyDescent="0.3">
      <c r="A394" s="442">
        <f t="shared" si="5"/>
        <v>0</v>
      </c>
      <c r="B394" s="453"/>
      <c r="C394" s="454"/>
      <c r="D394" s="452"/>
      <c r="E394" s="454"/>
      <c r="F394" s="454"/>
      <c r="G394" s="452"/>
      <c r="H394" s="452"/>
      <c r="I394" s="454"/>
      <c r="J394" s="454"/>
      <c r="K394" s="454"/>
      <c r="L394" s="452"/>
    </row>
    <row r="395" spans="1:12" x14ac:dyDescent="0.3">
      <c r="A395" s="442">
        <f t="shared" si="5"/>
        <v>0</v>
      </c>
      <c r="B395" s="453"/>
      <c r="C395" s="454"/>
      <c r="D395" s="452"/>
      <c r="E395" s="454"/>
      <c r="F395" s="454"/>
      <c r="G395" s="452"/>
      <c r="H395" s="452"/>
      <c r="I395" s="454"/>
      <c r="J395" s="454"/>
      <c r="K395" s="454"/>
      <c r="L395" s="452"/>
    </row>
    <row r="396" spans="1:12" x14ac:dyDescent="0.3">
      <c r="A396" s="442">
        <f t="shared" si="5"/>
        <v>0</v>
      </c>
      <c r="B396" s="453"/>
      <c r="C396" s="454"/>
      <c r="D396" s="452"/>
      <c r="E396" s="454"/>
      <c r="F396" s="454"/>
      <c r="G396" s="452"/>
      <c r="H396" s="452"/>
      <c r="I396" s="454"/>
      <c r="J396" s="454"/>
      <c r="K396" s="454"/>
      <c r="L396" s="452"/>
    </row>
    <row r="397" spans="1:12" x14ac:dyDescent="0.3">
      <c r="A397" s="442">
        <f t="shared" si="5"/>
        <v>0</v>
      </c>
      <c r="B397" s="453"/>
      <c r="C397" s="454"/>
      <c r="D397" s="452"/>
      <c r="E397" s="454"/>
      <c r="F397" s="454"/>
      <c r="G397" s="452"/>
      <c r="H397" s="452"/>
      <c r="I397" s="454"/>
      <c r="J397" s="454"/>
      <c r="K397" s="454"/>
      <c r="L397" s="452"/>
    </row>
    <row r="398" spans="1:12" x14ac:dyDescent="0.3">
      <c r="A398" s="442">
        <f t="shared" si="5"/>
        <v>0</v>
      </c>
      <c r="B398" s="453"/>
      <c r="C398" s="454"/>
      <c r="D398" s="452"/>
      <c r="E398" s="454"/>
      <c r="F398" s="454"/>
      <c r="G398" s="452"/>
      <c r="H398" s="452"/>
      <c r="I398" s="454"/>
      <c r="J398" s="454"/>
      <c r="K398" s="454"/>
      <c r="L398" s="452"/>
    </row>
    <row r="399" spans="1:12" x14ac:dyDescent="0.3">
      <c r="A399" s="442">
        <f t="shared" ref="A399:A462" si="6">IF(D399="",0,SUBSTITUTE(LOWER(D399),"km","")+0)</f>
        <v>0</v>
      </c>
      <c r="B399" s="453"/>
      <c r="C399" s="454"/>
      <c r="D399" s="452"/>
      <c r="E399" s="454"/>
      <c r="F399" s="454"/>
      <c r="G399" s="452"/>
      <c r="H399" s="452"/>
      <c r="I399" s="454"/>
      <c r="J399" s="454"/>
      <c r="K399" s="454"/>
      <c r="L399" s="452"/>
    </row>
    <row r="400" spans="1:12" x14ac:dyDescent="0.3">
      <c r="A400" s="442">
        <f t="shared" si="6"/>
        <v>0</v>
      </c>
      <c r="B400" s="453"/>
      <c r="C400" s="454"/>
      <c r="D400" s="452"/>
      <c r="E400" s="454"/>
      <c r="F400" s="454"/>
      <c r="G400" s="452"/>
      <c r="H400" s="452"/>
      <c r="I400" s="454"/>
      <c r="J400" s="454"/>
      <c r="K400" s="454"/>
      <c r="L400" s="452"/>
    </row>
    <row r="401" spans="1:12" x14ac:dyDescent="0.3">
      <c r="A401" s="442">
        <f t="shared" si="6"/>
        <v>0</v>
      </c>
      <c r="B401" s="453"/>
      <c r="C401" s="454"/>
      <c r="D401" s="452"/>
      <c r="E401" s="454"/>
      <c r="F401" s="454"/>
      <c r="G401" s="452"/>
      <c r="H401" s="452"/>
      <c r="I401" s="454"/>
      <c r="J401" s="454"/>
      <c r="K401" s="454"/>
      <c r="L401" s="452"/>
    </row>
    <row r="402" spans="1:12" x14ac:dyDescent="0.3">
      <c r="A402" s="442">
        <f t="shared" si="6"/>
        <v>0</v>
      </c>
      <c r="B402" s="453"/>
      <c r="C402" s="454"/>
      <c r="D402" s="452"/>
      <c r="E402" s="454"/>
      <c r="F402" s="454"/>
      <c r="G402" s="452"/>
      <c r="H402" s="452"/>
      <c r="I402" s="454"/>
      <c r="J402" s="454"/>
      <c r="K402" s="454"/>
      <c r="L402" s="452"/>
    </row>
    <row r="403" spans="1:12" x14ac:dyDescent="0.3">
      <c r="A403" s="442">
        <f t="shared" si="6"/>
        <v>0</v>
      </c>
      <c r="B403" s="453"/>
      <c r="C403" s="454"/>
      <c r="D403" s="452"/>
      <c r="E403" s="454"/>
      <c r="F403" s="454"/>
      <c r="G403" s="452"/>
      <c r="H403" s="452"/>
      <c r="I403" s="454"/>
      <c r="J403" s="454"/>
      <c r="K403" s="454"/>
      <c r="L403" s="452"/>
    </row>
    <row r="404" spans="1:12" x14ac:dyDescent="0.3">
      <c r="A404" s="442">
        <f t="shared" si="6"/>
        <v>0</v>
      </c>
      <c r="B404" s="453"/>
      <c r="C404" s="454"/>
      <c r="D404" s="452"/>
      <c r="E404" s="454"/>
      <c r="F404" s="454"/>
      <c r="G404" s="454"/>
      <c r="H404" s="452"/>
      <c r="I404" s="454"/>
      <c r="J404" s="454"/>
      <c r="K404" s="454"/>
      <c r="L404" s="454"/>
    </row>
    <row r="405" spans="1:12" x14ac:dyDescent="0.3">
      <c r="A405" s="442">
        <f t="shared" si="6"/>
        <v>0</v>
      </c>
      <c r="B405" s="453"/>
      <c r="C405" s="454"/>
      <c r="D405" s="452"/>
      <c r="E405" s="454"/>
      <c r="F405" s="454"/>
      <c r="G405" s="454"/>
      <c r="H405" s="452"/>
      <c r="I405" s="454"/>
      <c r="J405" s="454"/>
      <c r="K405" s="454"/>
      <c r="L405" s="454"/>
    </row>
    <row r="406" spans="1:12" x14ac:dyDescent="0.3">
      <c r="A406" s="442">
        <f t="shared" si="6"/>
        <v>0</v>
      </c>
      <c r="B406" s="453"/>
      <c r="C406" s="454"/>
      <c r="D406" s="452"/>
      <c r="E406" s="454"/>
      <c r="F406" s="454"/>
      <c r="G406" s="452"/>
      <c r="H406" s="452"/>
      <c r="I406" s="454"/>
      <c r="J406" s="454"/>
      <c r="K406" s="454"/>
      <c r="L406" s="452"/>
    </row>
    <row r="407" spans="1:12" x14ac:dyDescent="0.3">
      <c r="A407" s="442">
        <f t="shared" si="6"/>
        <v>0</v>
      </c>
      <c r="B407" s="453"/>
      <c r="C407" s="454"/>
      <c r="D407" s="452"/>
      <c r="E407" s="454"/>
      <c r="F407" s="454"/>
      <c r="G407" s="452"/>
      <c r="H407" s="452"/>
      <c r="I407" s="454"/>
      <c r="J407" s="454"/>
      <c r="K407" s="454"/>
      <c r="L407" s="452"/>
    </row>
    <row r="408" spans="1:12" x14ac:dyDescent="0.3">
      <c r="A408" s="442">
        <f t="shared" si="6"/>
        <v>0</v>
      </c>
      <c r="B408" s="453"/>
      <c r="C408" s="454"/>
      <c r="D408" s="452"/>
      <c r="E408" s="454"/>
      <c r="F408" s="454"/>
      <c r="G408" s="454"/>
      <c r="H408" s="452"/>
      <c r="I408" s="454"/>
      <c r="J408" s="454"/>
      <c r="K408" s="454"/>
      <c r="L408" s="454"/>
    </row>
    <row r="409" spans="1:12" x14ac:dyDescent="0.3">
      <c r="A409" s="442">
        <f t="shared" si="6"/>
        <v>0</v>
      </c>
      <c r="B409" s="453"/>
      <c r="C409" s="454"/>
      <c r="D409" s="452"/>
      <c r="E409" s="454"/>
      <c r="F409" s="454"/>
      <c r="G409" s="452"/>
      <c r="H409" s="452"/>
      <c r="I409" s="454"/>
      <c r="J409" s="454"/>
      <c r="K409" s="454"/>
      <c r="L409" s="452"/>
    </row>
    <row r="410" spans="1:12" x14ac:dyDescent="0.3">
      <c r="A410" s="442">
        <f t="shared" si="6"/>
        <v>0</v>
      </c>
      <c r="B410" s="453"/>
      <c r="C410" s="454"/>
      <c r="D410" s="452"/>
      <c r="E410" s="454"/>
      <c r="F410" s="454"/>
      <c r="G410" s="454"/>
      <c r="H410" s="452"/>
      <c r="I410" s="454"/>
      <c r="J410" s="454"/>
      <c r="K410" s="454"/>
      <c r="L410" s="454"/>
    </row>
    <row r="411" spans="1:12" x14ac:dyDescent="0.3">
      <c r="A411" s="442">
        <f t="shared" si="6"/>
        <v>0</v>
      </c>
      <c r="B411" s="453"/>
      <c r="C411" s="454"/>
      <c r="D411" s="452"/>
      <c r="E411" s="454"/>
      <c r="F411" s="454"/>
      <c r="G411" s="454"/>
      <c r="H411" s="452"/>
      <c r="I411" s="454"/>
      <c r="J411" s="454"/>
      <c r="K411" s="454"/>
      <c r="L411" s="454"/>
    </row>
    <row r="412" spans="1:12" x14ac:dyDescent="0.3">
      <c r="A412" s="442">
        <f t="shared" si="6"/>
        <v>0</v>
      </c>
      <c r="B412" s="453"/>
      <c r="C412" s="454"/>
      <c r="D412" s="452"/>
      <c r="E412" s="454"/>
      <c r="F412" s="454"/>
      <c r="G412" s="452"/>
      <c r="H412" s="452"/>
      <c r="I412" s="454"/>
      <c r="J412" s="454"/>
      <c r="K412" s="454"/>
      <c r="L412" s="452"/>
    </row>
    <row r="413" spans="1:12" x14ac:dyDescent="0.3">
      <c r="A413" s="442">
        <f t="shared" si="6"/>
        <v>0</v>
      </c>
      <c r="B413" s="453"/>
      <c r="C413" s="454"/>
      <c r="D413" s="452"/>
      <c r="E413" s="454"/>
      <c r="F413" s="454"/>
      <c r="G413" s="454"/>
      <c r="H413" s="452"/>
      <c r="I413" s="454"/>
      <c r="J413" s="454"/>
      <c r="K413" s="454"/>
      <c r="L413" s="454"/>
    </row>
    <row r="414" spans="1:12" x14ac:dyDescent="0.3">
      <c r="A414" s="442">
        <f t="shared" si="6"/>
        <v>0</v>
      </c>
      <c r="B414" s="453"/>
      <c r="C414" s="454"/>
      <c r="D414" s="452"/>
      <c r="E414" s="454"/>
      <c r="F414" s="454"/>
      <c r="G414" s="452"/>
      <c r="H414" s="452"/>
      <c r="I414" s="454"/>
      <c r="J414" s="454"/>
      <c r="K414" s="454"/>
      <c r="L414" s="452"/>
    </row>
    <row r="415" spans="1:12" x14ac:dyDescent="0.3">
      <c r="A415" s="442">
        <f t="shared" si="6"/>
        <v>0</v>
      </c>
      <c r="B415" s="453"/>
      <c r="C415" s="454"/>
      <c r="D415" s="452"/>
      <c r="E415" s="454"/>
      <c r="F415" s="454"/>
      <c r="G415" s="452"/>
      <c r="H415" s="452"/>
      <c r="I415" s="454"/>
      <c r="J415" s="454"/>
      <c r="K415" s="454"/>
      <c r="L415" s="452"/>
    </row>
    <row r="416" spans="1:12" x14ac:dyDescent="0.3">
      <c r="A416" s="442">
        <f t="shared" si="6"/>
        <v>0</v>
      </c>
      <c r="B416" s="453"/>
      <c r="C416" s="454"/>
      <c r="D416" s="452"/>
      <c r="E416" s="454"/>
      <c r="F416" s="454"/>
      <c r="G416" s="452"/>
      <c r="H416" s="452"/>
      <c r="I416" s="454"/>
      <c r="J416" s="454"/>
      <c r="K416" s="454"/>
      <c r="L416" s="452"/>
    </row>
    <row r="417" spans="1:12" x14ac:dyDescent="0.3">
      <c r="A417" s="442">
        <f t="shared" si="6"/>
        <v>0</v>
      </c>
      <c r="B417" s="453"/>
      <c r="C417" s="454"/>
      <c r="D417" s="452"/>
      <c r="E417" s="454"/>
      <c r="F417" s="454"/>
      <c r="G417" s="452"/>
      <c r="H417" s="452"/>
      <c r="I417" s="454"/>
      <c r="J417" s="454"/>
      <c r="K417" s="454"/>
      <c r="L417" s="452"/>
    </row>
    <row r="418" spans="1:12" x14ac:dyDescent="0.3">
      <c r="A418" s="442">
        <f t="shared" si="6"/>
        <v>0</v>
      </c>
      <c r="B418" s="453"/>
      <c r="C418" s="454"/>
      <c r="D418" s="452"/>
      <c r="E418" s="454"/>
      <c r="F418" s="454"/>
      <c r="G418" s="452"/>
      <c r="H418" s="452"/>
      <c r="I418" s="454"/>
      <c r="J418" s="454"/>
      <c r="K418" s="454"/>
      <c r="L418" s="452"/>
    </row>
    <row r="419" spans="1:12" x14ac:dyDescent="0.3">
      <c r="A419" s="442">
        <f t="shared" si="6"/>
        <v>0</v>
      </c>
      <c r="B419" s="453"/>
      <c r="C419" s="454"/>
      <c r="D419" s="452"/>
      <c r="E419" s="454"/>
      <c r="F419" s="454"/>
      <c r="G419" s="454"/>
      <c r="H419" s="452"/>
      <c r="I419" s="454"/>
      <c r="J419" s="454"/>
      <c r="K419" s="454"/>
      <c r="L419" s="454"/>
    </row>
    <row r="420" spans="1:12" x14ac:dyDescent="0.3">
      <c r="A420" s="442">
        <f t="shared" si="6"/>
        <v>0</v>
      </c>
      <c r="B420" s="453"/>
      <c r="C420" s="454"/>
      <c r="D420" s="452"/>
      <c r="E420" s="454"/>
      <c r="F420" s="454"/>
      <c r="G420" s="452"/>
      <c r="H420" s="452"/>
      <c r="I420" s="454"/>
      <c r="J420" s="454"/>
      <c r="K420" s="454"/>
      <c r="L420" s="452"/>
    </row>
    <row r="421" spans="1:12" x14ac:dyDescent="0.3">
      <c r="A421" s="442">
        <f t="shared" si="6"/>
        <v>0</v>
      </c>
      <c r="B421" s="453"/>
      <c r="C421" s="454"/>
      <c r="D421" s="452"/>
      <c r="E421" s="454"/>
      <c r="F421" s="454"/>
      <c r="G421" s="452"/>
      <c r="H421" s="452"/>
      <c r="I421" s="454"/>
      <c r="J421" s="454"/>
      <c r="K421" s="454"/>
      <c r="L421" s="452"/>
    </row>
    <row r="422" spans="1:12" x14ac:dyDescent="0.3">
      <c r="A422" s="442">
        <f t="shared" si="6"/>
        <v>0</v>
      </c>
      <c r="B422" s="453"/>
      <c r="C422" s="454"/>
      <c r="D422" s="452"/>
      <c r="E422" s="454"/>
      <c r="F422" s="454"/>
      <c r="G422" s="452"/>
      <c r="H422" s="452"/>
      <c r="I422" s="454"/>
      <c r="J422" s="454"/>
      <c r="K422" s="454"/>
      <c r="L422" s="452"/>
    </row>
    <row r="423" spans="1:12" x14ac:dyDescent="0.3">
      <c r="A423" s="442">
        <f t="shared" si="6"/>
        <v>0</v>
      </c>
      <c r="B423" s="453"/>
      <c r="C423" s="454"/>
      <c r="D423" s="452"/>
      <c r="E423" s="454"/>
      <c r="F423" s="454"/>
      <c r="G423" s="452"/>
      <c r="H423" s="452"/>
      <c r="I423" s="454"/>
      <c r="J423" s="454"/>
      <c r="K423" s="454"/>
      <c r="L423" s="452"/>
    </row>
    <row r="424" spans="1:12" x14ac:dyDescent="0.3">
      <c r="A424" s="442">
        <f t="shared" si="6"/>
        <v>0</v>
      </c>
      <c r="B424" s="453"/>
      <c r="C424" s="454"/>
      <c r="D424" s="452"/>
      <c r="E424" s="454"/>
      <c r="F424" s="454"/>
      <c r="G424" s="452"/>
      <c r="H424" s="452"/>
      <c r="I424" s="454"/>
      <c r="J424" s="454"/>
      <c r="K424" s="454"/>
      <c r="L424" s="452"/>
    </row>
    <row r="425" spans="1:12" x14ac:dyDescent="0.3">
      <c r="A425" s="442">
        <f t="shared" si="6"/>
        <v>0</v>
      </c>
      <c r="B425" s="453"/>
      <c r="C425" s="454"/>
      <c r="D425" s="452"/>
      <c r="E425" s="454"/>
      <c r="F425" s="454"/>
      <c r="G425" s="452"/>
      <c r="H425" s="452"/>
      <c r="I425" s="454"/>
      <c r="J425" s="454"/>
      <c r="K425" s="454"/>
      <c r="L425" s="452"/>
    </row>
    <row r="426" spans="1:12" x14ac:dyDescent="0.3">
      <c r="A426" s="442">
        <f t="shared" si="6"/>
        <v>0</v>
      </c>
      <c r="B426" s="453"/>
      <c r="C426" s="454"/>
      <c r="D426" s="452"/>
      <c r="E426" s="454"/>
      <c r="F426" s="454"/>
      <c r="G426" s="452"/>
      <c r="H426" s="452"/>
      <c r="I426" s="454"/>
      <c r="J426" s="454"/>
      <c r="K426" s="454"/>
      <c r="L426" s="452"/>
    </row>
    <row r="427" spans="1:12" x14ac:dyDescent="0.3">
      <c r="A427" s="442">
        <f t="shared" si="6"/>
        <v>0</v>
      </c>
      <c r="B427" s="453"/>
      <c r="C427" s="454"/>
      <c r="D427" s="452"/>
      <c r="E427" s="454"/>
      <c r="F427" s="454"/>
      <c r="G427" s="452"/>
      <c r="H427" s="452"/>
      <c r="I427" s="454"/>
      <c r="J427" s="454"/>
      <c r="K427" s="454"/>
      <c r="L427" s="452"/>
    </row>
    <row r="428" spans="1:12" x14ac:dyDescent="0.3">
      <c r="A428" s="442">
        <f t="shared" si="6"/>
        <v>0</v>
      </c>
      <c r="B428" s="453"/>
      <c r="C428" s="454"/>
      <c r="D428" s="452"/>
      <c r="E428" s="454"/>
      <c r="F428" s="454"/>
      <c r="G428" s="452"/>
      <c r="H428" s="452"/>
      <c r="I428" s="454"/>
      <c r="J428" s="454"/>
      <c r="K428" s="454"/>
      <c r="L428" s="452"/>
    </row>
    <row r="429" spans="1:12" x14ac:dyDescent="0.3">
      <c r="A429" s="442">
        <f t="shared" si="6"/>
        <v>0</v>
      </c>
      <c r="B429" s="453"/>
      <c r="C429" s="454"/>
      <c r="D429" s="452"/>
      <c r="E429" s="454"/>
      <c r="F429" s="454"/>
      <c r="G429" s="452"/>
      <c r="H429" s="452"/>
      <c r="I429" s="454"/>
      <c r="J429" s="454"/>
      <c r="K429" s="454"/>
      <c r="L429" s="452"/>
    </row>
    <row r="430" spans="1:12" x14ac:dyDescent="0.3">
      <c r="A430" s="442">
        <f t="shared" si="6"/>
        <v>0</v>
      </c>
      <c r="B430" s="453"/>
      <c r="C430" s="454"/>
      <c r="D430" s="452"/>
      <c r="E430" s="454"/>
      <c r="F430" s="454"/>
      <c r="G430" s="452"/>
      <c r="H430" s="452"/>
      <c r="I430" s="454"/>
      <c r="J430" s="454"/>
      <c r="K430" s="454"/>
      <c r="L430" s="452"/>
    </row>
    <row r="431" spans="1:12" x14ac:dyDescent="0.3">
      <c r="A431" s="442">
        <f t="shared" si="6"/>
        <v>0</v>
      </c>
      <c r="B431" s="453"/>
      <c r="C431" s="454"/>
      <c r="D431" s="452"/>
      <c r="E431" s="454"/>
      <c r="F431" s="454"/>
      <c r="G431" s="452"/>
      <c r="H431" s="452"/>
      <c r="I431" s="454"/>
      <c r="J431" s="454"/>
      <c r="K431" s="454"/>
      <c r="L431" s="452"/>
    </row>
    <row r="432" spans="1:12" x14ac:dyDescent="0.3">
      <c r="A432" s="442">
        <f t="shared" si="6"/>
        <v>0</v>
      </c>
      <c r="B432" s="453"/>
      <c r="C432" s="454"/>
      <c r="D432" s="452"/>
      <c r="E432" s="454"/>
      <c r="F432" s="454"/>
      <c r="G432" s="452"/>
      <c r="H432" s="452"/>
      <c r="I432" s="454"/>
      <c r="J432" s="454"/>
      <c r="K432" s="454"/>
      <c r="L432" s="452"/>
    </row>
    <row r="433" spans="1:12" x14ac:dyDescent="0.3">
      <c r="A433" s="442">
        <f t="shared" si="6"/>
        <v>0</v>
      </c>
      <c r="B433" s="453"/>
      <c r="C433" s="454"/>
      <c r="D433" s="452"/>
      <c r="E433" s="454"/>
      <c r="F433" s="454"/>
      <c r="G433" s="452"/>
      <c r="H433" s="452"/>
      <c r="I433" s="454"/>
      <c r="J433" s="454"/>
      <c r="K433" s="454"/>
      <c r="L433" s="452"/>
    </row>
    <row r="434" spans="1:12" x14ac:dyDescent="0.3">
      <c r="A434" s="442">
        <f t="shared" si="6"/>
        <v>0</v>
      </c>
      <c r="B434" s="453"/>
      <c r="C434" s="454"/>
      <c r="D434" s="452"/>
      <c r="E434" s="454"/>
      <c r="F434" s="454"/>
      <c r="G434" s="452"/>
      <c r="H434" s="452"/>
      <c r="I434" s="454"/>
      <c r="J434" s="454"/>
      <c r="K434" s="454"/>
      <c r="L434" s="452"/>
    </row>
    <row r="435" spans="1:12" x14ac:dyDescent="0.3">
      <c r="A435" s="442">
        <f t="shared" si="6"/>
        <v>0</v>
      </c>
      <c r="B435" s="453"/>
      <c r="C435" s="454"/>
      <c r="D435" s="452"/>
      <c r="E435" s="454"/>
      <c r="F435" s="454"/>
      <c r="G435" s="452"/>
      <c r="H435" s="452"/>
      <c r="I435" s="454"/>
      <c r="J435" s="454"/>
      <c r="K435" s="452"/>
      <c r="L435" s="452"/>
    </row>
    <row r="436" spans="1:12" x14ac:dyDescent="0.3">
      <c r="A436" s="442">
        <f t="shared" si="6"/>
        <v>0</v>
      </c>
      <c r="B436" s="453"/>
      <c r="C436" s="454"/>
      <c r="D436" s="452"/>
      <c r="E436" s="454"/>
      <c r="F436" s="454"/>
      <c r="G436" s="452"/>
      <c r="H436" s="452"/>
      <c r="I436" s="454"/>
      <c r="J436" s="454"/>
      <c r="K436" s="454"/>
      <c r="L436" s="452"/>
    </row>
    <row r="437" spans="1:12" x14ac:dyDescent="0.3">
      <c r="A437" s="442">
        <f t="shared" si="6"/>
        <v>0</v>
      </c>
      <c r="B437" s="453"/>
      <c r="C437" s="454"/>
      <c r="D437" s="452"/>
      <c r="E437" s="454"/>
      <c r="F437" s="454"/>
      <c r="G437" s="452"/>
      <c r="H437" s="452"/>
      <c r="I437" s="454"/>
      <c r="J437" s="454"/>
      <c r="K437" s="452"/>
      <c r="L437" s="452"/>
    </row>
    <row r="438" spans="1:12" x14ac:dyDescent="0.3">
      <c r="A438" s="442">
        <f t="shared" si="6"/>
        <v>0</v>
      </c>
      <c r="B438" s="453"/>
      <c r="C438" s="454"/>
      <c r="D438" s="452"/>
      <c r="E438" s="454"/>
      <c r="F438" s="454"/>
      <c r="G438" s="452"/>
      <c r="H438" s="452"/>
      <c r="I438" s="454"/>
      <c r="J438" s="454"/>
      <c r="K438" s="452"/>
      <c r="L438" s="452"/>
    </row>
    <row r="439" spans="1:12" x14ac:dyDescent="0.3">
      <c r="A439" s="442">
        <f t="shared" si="6"/>
        <v>0</v>
      </c>
      <c r="B439" s="453"/>
      <c r="C439" s="454"/>
      <c r="D439" s="452"/>
      <c r="E439" s="454"/>
      <c r="F439" s="454"/>
      <c r="G439" s="452"/>
      <c r="H439" s="452"/>
      <c r="I439" s="454"/>
      <c r="J439" s="454"/>
      <c r="K439" s="452"/>
      <c r="L439" s="452"/>
    </row>
    <row r="440" spans="1:12" x14ac:dyDescent="0.3">
      <c r="A440" s="442">
        <f t="shared" si="6"/>
        <v>0</v>
      </c>
      <c r="B440" s="453"/>
      <c r="C440" s="454"/>
      <c r="D440" s="452"/>
      <c r="E440" s="454"/>
      <c r="F440" s="454"/>
      <c r="G440" s="452"/>
      <c r="H440" s="452"/>
      <c r="I440" s="454"/>
      <c r="J440" s="454"/>
      <c r="K440" s="454"/>
      <c r="L440" s="452"/>
    </row>
    <row r="441" spans="1:12" x14ac:dyDescent="0.3">
      <c r="A441" s="442">
        <f t="shared" si="6"/>
        <v>0</v>
      </c>
      <c r="B441" s="453"/>
      <c r="C441" s="454"/>
      <c r="D441" s="452"/>
      <c r="E441" s="454"/>
      <c r="F441" s="454"/>
      <c r="G441" s="452"/>
      <c r="H441" s="452"/>
      <c r="I441" s="454"/>
      <c r="J441" s="454"/>
      <c r="K441" s="454"/>
      <c r="L441" s="452"/>
    </row>
    <row r="442" spans="1:12" x14ac:dyDescent="0.3">
      <c r="A442" s="442">
        <f t="shared" si="6"/>
        <v>0</v>
      </c>
      <c r="B442" s="453"/>
      <c r="C442" s="454"/>
      <c r="D442" s="452"/>
      <c r="E442" s="454"/>
      <c r="F442" s="454"/>
      <c r="G442" s="454"/>
      <c r="H442" s="452"/>
      <c r="I442" s="454"/>
      <c r="J442" s="454"/>
      <c r="K442" s="454"/>
      <c r="L442" s="454"/>
    </row>
    <row r="443" spans="1:12" x14ac:dyDescent="0.3">
      <c r="A443" s="442">
        <f t="shared" si="6"/>
        <v>0</v>
      </c>
      <c r="B443" s="453"/>
      <c r="C443" s="454"/>
      <c r="D443" s="452"/>
      <c r="E443" s="454"/>
      <c r="F443" s="454"/>
      <c r="G443" s="454"/>
      <c r="H443" s="452"/>
      <c r="I443" s="454"/>
      <c r="J443" s="454"/>
      <c r="K443" s="454"/>
      <c r="L443" s="454"/>
    </row>
    <row r="444" spans="1:12" x14ac:dyDescent="0.3">
      <c r="A444" s="442">
        <f t="shared" si="6"/>
        <v>0</v>
      </c>
      <c r="B444" s="453"/>
      <c r="C444" s="454"/>
      <c r="D444" s="452"/>
      <c r="E444" s="454"/>
      <c r="F444" s="454"/>
      <c r="G444" s="454"/>
      <c r="H444" s="452"/>
      <c r="I444" s="454"/>
      <c r="J444" s="454"/>
      <c r="K444" s="454"/>
      <c r="L444" s="454"/>
    </row>
    <row r="445" spans="1:12" x14ac:dyDescent="0.3">
      <c r="A445" s="442">
        <f t="shared" si="6"/>
        <v>0</v>
      </c>
      <c r="B445" s="453"/>
      <c r="C445" s="454"/>
      <c r="D445" s="452"/>
      <c r="E445" s="454"/>
      <c r="F445" s="454"/>
      <c r="G445" s="454"/>
      <c r="H445" s="452"/>
      <c r="I445" s="454"/>
      <c r="J445" s="454"/>
      <c r="K445" s="454"/>
      <c r="L445" s="454"/>
    </row>
    <row r="446" spans="1:12" x14ac:dyDescent="0.3">
      <c r="A446" s="442">
        <f t="shared" si="6"/>
        <v>0</v>
      </c>
      <c r="B446" s="453"/>
      <c r="C446" s="454"/>
      <c r="D446" s="452"/>
      <c r="E446" s="454"/>
      <c r="F446" s="454"/>
      <c r="G446" s="454"/>
      <c r="H446" s="452"/>
      <c r="I446" s="454"/>
      <c r="J446" s="454"/>
      <c r="K446" s="454"/>
      <c r="L446" s="454"/>
    </row>
    <row r="447" spans="1:12" x14ac:dyDescent="0.3">
      <c r="A447" s="442">
        <f t="shared" si="6"/>
        <v>0</v>
      </c>
      <c r="B447" s="453"/>
      <c r="C447" s="454"/>
      <c r="D447" s="452"/>
      <c r="E447" s="454"/>
      <c r="F447" s="454"/>
      <c r="G447" s="454"/>
      <c r="H447" s="452"/>
      <c r="I447" s="454"/>
      <c r="J447" s="454"/>
      <c r="K447" s="454"/>
      <c r="L447" s="454"/>
    </row>
    <row r="448" spans="1:12" x14ac:dyDescent="0.3">
      <c r="A448" s="442">
        <f t="shared" si="6"/>
        <v>0</v>
      </c>
      <c r="B448" s="453"/>
      <c r="C448" s="454"/>
      <c r="D448" s="452"/>
      <c r="E448" s="454"/>
      <c r="F448" s="454"/>
      <c r="G448" s="452"/>
      <c r="H448" s="452"/>
      <c r="I448" s="454"/>
      <c r="J448" s="454"/>
      <c r="K448" s="454"/>
      <c r="L448" s="452"/>
    </row>
    <row r="449" spans="1:12" x14ac:dyDescent="0.3">
      <c r="A449" s="442">
        <f t="shared" si="6"/>
        <v>0</v>
      </c>
      <c r="B449" s="453"/>
      <c r="C449" s="454"/>
      <c r="D449" s="452"/>
      <c r="E449" s="454"/>
      <c r="F449" s="454"/>
      <c r="G449" s="454"/>
      <c r="H449" s="452"/>
      <c r="I449" s="454"/>
      <c r="J449" s="454"/>
      <c r="K449" s="454"/>
      <c r="L449" s="454"/>
    </row>
    <row r="450" spans="1:12" x14ac:dyDescent="0.3">
      <c r="A450" s="442">
        <f t="shared" si="6"/>
        <v>0</v>
      </c>
      <c r="B450" s="453"/>
      <c r="C450" s="454"/>
      <c r="D450" s="452"/>
      <c r="E450" s="454"/>
      <c r="F450" s="454"/>
      <c r="G450" s="454"/>
      <c r="H450" s="452"/>
      <c r="I450" s="454"/>
      <c r="J450" s="454"/>
      <c r="K450" s="454"/>
      <c r="L450" s="454"/>
    </row>
    <row r="451" spans="1:12" x14ac:dyDescent="0.3">
      <c r="A451" s="442">
        <f t="shared" si="6"/>
        <v>0</v>
      </c>
      <c r="B451" s="453"/>
      <c r="C451" s="454"/>
      <c r="D451" s="452"/>
      <c r="E451" s="454"/>
      <c r="F451" s="454"/>
      <c r="G451" s="452"/>
      <c r="H451" s="452"/>
      <c r="I451" s="454"/>
      <c r="J451" s="454"/>
      <c r="K451" s="454"/>
      <c r="L451" s="452"/>
    </row>
    <row r="452" spans="1:12" x14ac:dyDescent="0.3">
      <c r="A452" s="442">
        <f t="shared" si="6"/>
        <v>0</v>
      </c>
      <c r="B452" s="453"/>
      <c r="C452" s="454"/>
      <c r="D452" s="452"/>
      <c r="E452" s="454"/>
      <c r="F452" s="454"/>
      <c r="G452" s="454"/>
      <c r="H452" s="452"/>
      <c r="I452" s="454"/>
      <c r="J452" s="454"/>
      <c r="K452" s="454"/>
      <c r="L452" s="454"/>
    </row>
    <row r="453" spans="1:12" x14ac:dyDescent="0.3">
      <c r="A453" s="442">
        <f t="shared" si="6"/>
        <v>0</v>
      </c>
      <c r="B453" s="453"/>
      <c r="C453" s="454"/>
      <c r="D453" s="452"/>
      <c r="E453" s="454"/>
      <c r="F453" s="454"/>
      <c r="G453" s="454"/>
      <c r="H453" s="452"/>
      <c r="I453" s="454"/>
      <c r="J453" s="454"/>
      <c r="K453" s="454"/>
      <c r="L453" s="454"/>
    </row>
    <row r="454" spans="1:12" x14ac:dyDescent="0.3">
      <c r="A454" s="442">
        <f t="shared" si="6"/>
        <v>0</v>
      </c>
      <c r="B454" s="453"/>
      <c r="C454" s="454"/>
      <c r="D454" s="452"/>
      <c r="E454" s="454"/>
      <c r="F454" s="454"/>
      <c r="G454" s="454"/>
      <c r="H454" s="452"/>
      <c r="I454" s="454"/>
      <c r="J454" s="454"/>
      <c r="K454" s="454"/>
      <c r="L454" s="454"/>
    </row>
    <row r="455" spans="1:12" x14ac:dyDescent="0.3">
      <c r="A455" s="442">
        <f t="shared" si="6"/>
        <v>0</v>
      </c>
      <c r="B455" s="453"/>
      <c r="C455" s="454"/>
      <c r="D455" s="452"/>
      <c r="E455" s="454"/>
      <c r="F455" s="454"/>
      <c r="G455" s="454"/>
      <c r="H455" s="452"/>
      <c r="I455" s="454"/>
      <c r="J455" s="454"/>
      <c r="K455" s="454"/>
      <c r="L455" s="454"/>
    </row>
    <row r="456" spans="1:12" x14ac:dyDescent="0.3">
      <c r="A456" s="442">
        <f t="shared" si="6"/>
        <v>0</v>
      </c>
      <c r="B456" s="453"/>
      <c r="C456" s="454"/>
      <c r="D456" s="452"/>
      <c r="E456" s="454"/>
      <c r="F456" s="454"/>
      <c r="G456" s="454"/>
      <c r="H456" s="452"/>
      <c r="I456" s="454"/>
      <c r="J456" s="454"/>
      <c r="K456" s="454"/>
      <c r="L456" s="454"/>
    </row>
    <row r="457" spans="1:12" x14ac:dyDescent="0.3">
      <c r="A457" s="442">
        <f t="shared" si="6"/>
        <v>0</v>
      </c>
      <c r="B457" s="453"/>
      <c r="C457" s="454"/>
      <c r="D457" s="452"/>
      <c r="E457" s="454"/>
      <c r="F457" s="454"/>
      <c r="G457" s="454"/>
      <c r="H457" s="452"/>
      <c r="I457" s="454"/>
      <c r="J457" s="454"/>
      <c r="K457" s="454"/>
      <c r="L457" s="454"/>
    </row>
    <row r="458" spans="1:12" x14ac:dyDescent="0.3">
      <c r="A458" s="442">
        <f t="shared" si="6"/>
        <v>0</v>
      </c>
      <c r="B458" s="453"/>
      <c r="C458" s="454"/>
      <c r="D458" s="452"/>
      <c r="E458" s="454"/>
      <c r="F458" s="454"/>
      <c r="G458" s="454"/>
      <c r="H458" s="452"/>
      <c r="I458" s="454"/>
      <c r="J458" s="454"/>
      <c r="K458" s="454"/>
      <c r="L458" s="454"/>
    </row>
    <row r="459" spans="1:12" x14ac:dyDescent="0.3">
      <c r="A459" s="442">
        <f t="shared" si="6"/>
        <v>0</v>
      </c>
      <c r="B459" s="453"/>
      <c r="C459" s="454"/>
      <c r="D459" s="452"/>
      <c r="E459" s="454"/>
      <c r="F459" s="454"/>
      <c r="G459" s="454"/>
      <c r="H459" s="452"/>
      <c r="I459" s="454"/>
      <c r="J459" s="454"/>
      <c r="K459" s="454"/>
      <c r="L459" s="454"/>
    </row>
    <row r="460" spans="1:12" x14ac:dyDescent="0.3">
      <c r="A460" s="442">
        <f t="shared" si="6"/>
        <v>0</v>
      </c>
      <c r="B460" s="453"/>
      <c r="C460" s="454"/>
      <c r="D460" s="452"/>
      <c r="E460" s="454"/>
      <c r="F460" s="454"/>
      <c r="G460" s="454"/>
      <c r="H460" s="452"/>
      <c r="I460" s="454"/>
      <c r="J460" s="454"/>
      <c r="K460" s="454"/>
      <c r="L460" s="454"/>
    </row>
    <row r="461" spans="1:12" x14ac:dyDescent="0.3">
      <c r="A461" s="442">
        <f t="shared" si="6"/>
        <v>0</v>
      </c>
      <c r="B461" s="453"/>
      <c r="C461" s="454"/>
      <c r="D461" s="452"/>
      <c r="E461" s="454"/>
      <c r="F461" s="454"/>
      <c r="G461" s="452"/>
      <c r="H461" s="452"/>
      <c r="I461" s="454"/>
      <c r="J461" s="454"/>
      <c r="K461" s="454"/>
      <c r="L461" s="452"/>
    </row>
    <row r="462" spans="1:12" x14ac:dyDescent="0.3">
      <c r="A462" s="442">
        <f t="shared" si="6"/>
        <v>0</v>
      </c>
      <c r="B462" s="453"/>
      <c r="C462" s="454"/>
      <c r="D462" s="452"/>
      <c r="E462" s="454"/>
      <c r="F462" s="454"/>
      <c r="G462" s="452"/>
      <c r="H462" s="452"/>
      <c r="I462" s="454"/>
      <c r="J462" s="454"/>
      <c r="K462" s="454"/>
      <c r="L462" s="452"/>
    </row>
    <row r="463" spans="1:12" x14ac:dyDescent="0.3">
      <c r="A463" s="442">
        <f t="shared" ref="A463:A500" si="7">IF(D463="",0,SUBSTITUTE(LOWER(D463),"km","")+0)</f>
        <v>0</v>
      </c>
      <c r="B463" s="453"/>
      <c r="C463" s="454"/>
      <c r="D463" s="452"/>
      <c r="E463" s="454"/>
      <c r="F463" s="454"/>
      <c r="G463" s="452"/>
      <c r="H463" s="452"/>
      <c r="I463" s="454"/>
      <c r="J463" s="454"/>
      <c r="K463" s="454"/>
      <c r="L463" s="452"/>
    </row>
    <row r="464" spans="1:12" x14ac:dyDescent="0.3">
      <c r="A464" s="442">
        <f t="shared" si="7"/>
        <v>0</v>
      </c>
      <c r="B464" s="453"/>
      <c r="C464" s="454"/>
      <c r="D464" s="452"/>
      <c r="E464" s="454"/>
      <c r="F464" s="454"/>
      <c r="G464" s="452"/>
      <c r="H464" s="452"/>
      <c r="I464" s="454"/>
      <c r="J464" s="454"/>
      <c r="K464" s="454"/>
      <c r="L464" s="452"/>
    </row>
    <row r="465" spans="1:12" x14ac:dyDescent="0.3">
      <c r="A465" s="442">
        <f t="shared" si="7"/>
        <v>0</v>
      </c>
      <c r="B465" s="453"/>
      <c r="C465" s="454"/>
      <c r="D465" s="452"/>
      <c r="E465" s="454"/>
      <c r="F465" s="454"/>
      <c r="G465" s="454"/>
      <c r="H465" s="452"/>
      <c r="I465" s="454"/>
      <c r="J465" s="454"/>
      <c r="K465" s="454"/>
      <c r="L465" s="454"/>
    </row>
    <row r="466" spans="1:12" x14ac:dyDescent="0.3">
      <c r="A466" s="442">
        <f t="shared" si="7"/>
        <v>0</v>
      </c>
      <c r="B466" s="453"/>
      <c r="C466" s="454"/>
      <c r="D466" s="452"/>
      <c r="E466" s="454"/>
      <c r="F466" s="454"/>
      <c r="G466" s="454"/>
      <c r="H466" s="452"/>
      <c r="I466" s="454"/>
      <c r="J466" s="454"/>
      <c r="K466" s="454"/>
      <c r="L466" s="454"/>
    </row>
    <row r="467" spans="1:12" x14ac:dyDescent="0.3">
      <c r="A467" s="442">
        <f t="shared" si="7"/>
        <v>0</v>
      </c>
      <c r="B467" s="453"/>
      <c r="C467" s="454"/>
      <c r="D467" s="452"/>
      <c r="E467" s="454"/>
      <c r="F467" s="454"/>
      <c r="G467" s="452"/>
      <c r="H467" s="452"/>
      <c r="I467" s="454"/>
      <c r="J467" s="454"/>
      <c r="K467" s="454"/>
      <c r="L467" s="452"/>
    </row>
    <row r="468" spans="1:12" x14ac:dyDescent="0.3">
      <c r="A468" s="442">
        <f t="shared" si="7"/>
        <v>0</v>
      </c>
      <c r="B468" s="453"/>
      <c r="C468" s="454"/>
      <c r="D468" s="452"/>
      <c r="E468" s="454"/>
      <c r="F468" s="454"/>
      <c r="G468" s="452"/>
      <c r="H468" s="452"/>
      <c r="I468" s="454"/>
      <c r="J468" s="454"/>
      <c r="K468" s="454"/>
      <c r="L468" s="452"/>
    </row>
    <row r="469" spans="1:12" x14ac:dyDescent="0.3">
      <c r="A469" s="442">
        <f t="shared" si="7"/>
        <v>0</v>
      </c>
      <c r="B469" s="453"/>
      <c r="C469" s="454"/>
      <c r="D469" s="452"/>
      <c r="E469" s="454"/>
      <c r="F469" s="454"/>
      <c r="G469" s="452"/>
      <c r="H469" s="452"/>
      <c r="I469" s="454"/>
      <c r="J469" s="454"/>
      <c r="K469" s="454"/>
      <c r="L469" s="452"/>
    </row>
    <row r="470" spans="1:12" x14ac:dyDescent="0.3">
      <c r="A470" s="442">
        <f t="shared" si="7"/>
        <v>0</v>
      </c>
      <c r="B470" s="453"/>
      <c r="C470" s="454"/>
      <c r="D470" s="452"/>
      <c r="E470" s="454"/>
      <c r="F470" s="454"/>
      <c r="G470" s="452"/>
      <c r="H470" s="452"/>
      <c r="I470" s="454"/>
      <c r="J470" s="454"/>
      <c r="K470" s="454"/>
      <c r="L470" s="452"/>
    </row>
    <row r="471" spans="1:12" x14ac:dyDescent="0.3">
      <c r="A471" s="442">
        <f t="shared" si="7"/>
        <v>0</v>
      </c>
      <c r="B471" s="453"/>
      <c r="C471" s="454"/>
      <c r="D471" s="452"/>
      <c r="E471" s="454"/>
      <c r="F471" s="454"/>
      <c r="G471" s="452"/>
      <c r="H471" s="452"/>
      <c r="I471" s="454"/>
      <c r="J471" s="454"/>
      <c r="K471" s="454"/>
      <c r="L471" s="452"/>
    </row>
    <row r="472" spans="1:12" x14ac:dyDescent="0.3">
      <c r="A472" s="442">
        <f t="shared" si="7"/>
        <v>0</v>
      </c>
      <c r="B472" s="453"/>
      <c r="C472" s="454"/>
      <c r="D472" s="452"/>
      <c r="E472" s="454"/>
      <c r="F472" s="454"/>
      <c r="G472" s="452"/>
      <c r="H472" s="452"/>
      <c r="I472" s="454"/>
      <c r="J472" s="454"/>
      <c r="K472" s="454"/>
      <c r="L472" s="452"/>
    </row>
    <row r="473" spans="1:12" x14ac:dyDescent="0.3">
      <c r="A473" s="442">
        <f t="shared" si="7"/>
        <v>0</v>
      </c>
      <c r="B473" s="453"/>
      <c r="C473" s="454"/>
      <c r="D473" s="452"/>
      <c r="E473" s="454"/>
      <c r="F473" s="454"/>
      <c r="G473" s="452"/>
      <c r="H473" s="452"/>
      <c r="I473" s="454"/>
      <c r="J473" s="454"/>
      <c r="K473" s="454"/>
      <c r="L473" s="452"/>
    </row>
    <row r="474" spans="1:12" x14ac:dyDescent="0.3">
      <c r="A474" s="442">
        <f t="shared" si="7"/>
        <v>0</v>
      </c>
      <c r="B474" s="453"/>
      <c r="C474" s="454"/>
      <c r="D474" s="452"/>
      <c r="E474" s="454"/>
      <c r="F474" s="454"/>
      <c r="G474" s="452"/>
      <c r="H474" s="452"/>
      <c r="I474" s="454"/>
      <c r="J474" s="454"/>
      <c r="K474" s="454"/>
      <c r="L474" s="452"/>
    </row>
    <row r="475" spans="1:12" x14ac:dyDescent="0.3">
      <c r="A475" s="442">
        <f t="shared" si="7"/>
        <v>0</v>
      </c>
      <c r="B475" s="453"/>
      <c r="C475" s="454"/>
      <c r="D475" s="452"/>
      <c r="E475" s="454"/>
      <c r="F475" s="454"/>
      <c r="G475" s="452"/>
      <c r="H475" s="452"/>
      <c r="I475" s="454"/>
      <c r="J475" s="454"/>
      <c r="K475" s="454"/>
      <c r="L475" s="452"/>
    </row>
    <row r="476" spans="1:12" x14ac:dyDescent="0.3">
      <c r="A476" s="442">
        <f t="shared" si="7"/>
        <v>0</v>
      </c>
      <c r="B476" s="453"/>
      <c r="C476" s="454"/>
      <c r="D476" s="452"/>
      <c r="E476" s="454"/>
      <c r="F476" s="454"/>
      <c r="G476" s="452"/>
      <c r="H476" s="452"/>
      <c r="I476" s="454"/>
      <c r="J476" s="454"/>
      <c r="K476" s="454"/>
      <c r="L476" s="452"/>
    </row>
    <row r="477" spans="1:12" x14ac:dyDescent="0.3">
      <c r="A477" s="442">
        <f t="shared" si="7"/>
        <v>0</v>
      </c>
      <c r="B477" s="453"/>
      <c r="C477" s="454"/>
      <c r="D477" s="452"/>
      <c r="E477" s="454"/>
      <c r="F477" s="454"/>
      <c r="G477" s="452"/>
      <c r="H477" s="452"/>
      <c r="I477" s="454"/>
      <c r="J477" s="454"/>
      <c r="K477" s="454"/>
      <c r="L477" s="452"/>
    </row>
    <row r="478" spans="1:12" x14ac:dyDescent="0.3">
      <c r="A478" s="442">
        <f t="shared" si="7"/>
        <v>0</v>
      </c>
      <c r="B478" s="453"/>
      <c r="C478" s="454"/>
      <c r="D478" s="452"/>
      <c r="E478" s="454"/>
      <c r="F478" s="454"/>
      <c r="G478" s="452"/>
      <c r="H478" s="452"/>
      <c r="I478" s="454"/>
      <c r="J478" s="454"/>
      <c r="K478" s="454"/>
      <c r="L478" s="452"/>
    </row>
    <row r="479" spans="1:12" x14ac:dyDescent="0.3">
      <c r="A479" s="442">
        <f t="shared" si="7"/>
        <v>0</v>
      </c>
      <c r="B479" s="453"/>
      <c r="C479" s="454"/>
      <c r="D479" s="452"/>
      <c r="E479" s="454"/>
      <c r="F479" s="454"/>
      <c r="G479" s="452"/>
      <c r="H479" s="452"/>
      <c r="I479" s="454"/>
      <c r="J479" s="454"/>
      <c r="K479" s="454"/>
      <c r="L479" s="452"/>
    </row>
    <row r="480" spans="1:12" x14ac:dyDescent="0.3">
      <c r="A480" s="442">
        <f t="shared" si="7"/>
        <v>0</v>
      </c>
      <c r="B480" s="453"/>
      <c r="C480" s="454"/>
      <c r="D480" s="452"/>
      <c r="E480" s="454"/>
      <c r="F480" s="454"/>
      <c r="G480" s="452"/>
      <c r="H480" s="452"/>
      <c r="I480" s="454"/>
      <c r="J480" s="454"/>
      <c r="K480" s="454"/>
      <c r="L480" s="452"/>
    </row>
    <row r="481" spans="1:12" x14ac:dyDescent="0.3">
      <c r="A481" s="442">
        <f t="shared" si="7"/>
        <v>0</v>
      </c>
      <c r="B481" s="453"/>
      <c r="C481" s="454"/>
      <c r="D481" s="452"/>
      <c r="E481" s="454"/>
      <c r="F481" s="454"/>
      <c r="G481" s="452"/>
      <c r="H481" s="452"/>
      <c r="I481" s="454"/>
      <c r="J481" s="454"/>
      <c r="K481" s="454"/>
      <c r="L481" s="452"/>
    </row>
    <row r="482" spans="1:12" x14ac:dyDescent="0.3">
      <c r="A482" s="442">
        <f t="shared" si="7"/>
        <v>0</v>
      </c>
      <c r="B482" s="453"/>
      <c r="C482" s="454"/>
      <c r="D482" s="452"/>
      <c r="E482" s="454"/>
      <c r="F482" s="454"/>
      <c r="G482" s="452"/>
      <c r="H482" s="452"/>
      <c r="I482" s="454"/>
      <c r="J482" s="454"/>
      <c r="K482" s="454"/>
      <c r="L482" s="452"/>
    </row>
    <row r="483" spans="1:12" x14ac:dyDescent="0.3">
      <c r="A483" s="442">
        <f t="shared" si="7"/>
        <v>0</v>
      </c>
      <c r="B483" s="453"/>
      <c r="C483" s="454"/>
      <c r="D483" s="452"/>
      <c r="E483" s="454"/>
      <c r="F483" s="454"/>
      <c r="G483" s="452"/>
      <c r="H483" s="452"/>
      <c r="I483" s="454"/>
      <c r="J483" s="454"/>
      <c r="K483" s="454"/>
      <c r="L483" s="452"/>
    </row>
    <row r="484" spans="1:12" x14ac:dyDescent="0.3">
      <c r="A484" s="442">
        <f t="shared" si="7"/>
        <v>0</v>
      </c>
      <c r="B484" s="453"/>
      <c r="C484" s="454"/>
      <c r="D484" s="452"/>
      <c r="E484" s="454"/>
      <c r="F484" s="454"/>
      <c r="G484" s="452"/>
      <c r="H484" s="452"/>
      <c r="I484" s="454"/>
      <c r="J484" s="454"/>
      <c r="K484" s="454"/>
      <c r="L484" s="452"/>
    </row>
    <row r="485" spans="1:12" x14ac:dyDescent="0.3">
      <c r="A485" s="442">
        <f t="shared" si="7"/>
        <v>0</v>
      </c>
      <c r="B485" s="453"/>
      <c r="C485" s="454"/>
      <c r="D485" s="452"/>
      <c r="E485" s="454"/>
      <c r="F485" s="454"/>
      <c r="G485" s="452"/>
      <c r="H485" s="452"/>
      <c r="I485" s="454"/>
      <c r="J485" s="454"/>
      <c r="K485" s="454"/>
      <c r="L485" s="452"/>
    </row>
    <row r="486" spans="1:12" x14ac:dyDescent="0.3">
      <c r="A486" s="442">
        <f t="shared" si="7"/>
        <v>0</v>
      </c>
      <c r="B486" s="453"/>
      <c r="C486" s="454"/>
      <c r="D486" s="452"/>
      <c r="E486" s="454"/>
      <c r="F486" s="454"/>
      <c r="G486" s="452"/>
      <c r="H486" s="452"/>
      <c r="I486" s="454"/>
      <c r="J486" s="454"/>
      <c r="K486" s="454"/>
      <c r="L486" s="452"/>
    </row>
    <row r="487" spans="1:12" x14ac:dyDescent="0.3">
      <c r="A487" s="442">
        <f t="shared" si="7"/>
        <v>0</v>
      </c>
      <c r="B487" s="453"/>
      <c r="C487" s="454"/>
      <c r="D487" s="452"/>
      <c r="E487" s="454"/>
      <c r="F487" s="454"/>
      <c r="G487" s="452"/>
      <c r="H487" s="452"/>
      <c r="I487" s="454"/>
      <c r="J487" s="454"/>
      <c r="K487" s="454"/>
      <c r="L487" s="452"/>
    </row>
    <row r="488" spans="1:12" x14ac:dyDescent="0.3">
      <c r="A488" s="442">
        <f t="shared" si="7"/>
        <v>0</v>
      </c>
      <c r="B488" s="453"/>
      <c r="C488" s="454"/>
      <c r="D488" s="452"/>
      <c r="E488" s="454"/>
      <c r="F488" s="454"/>
      <c r="G488" s="452"/>
      <c r="H488" s="452"/>
      <c r="I488" s="454"/>
      <c r="J488" s="454"/>
      <c r="K488" s="454"/>
      <c r="L488" s="452"/>
    </row>
    <row r="489" spans="1:12" x14ac:dyDescent="0.3">
      <c r="A489" s="442">
        <f t="shared" si="7"/>
        <v>0</v>
      </c>
      <c r="B489" s="453"/>
      <c r="C489" s="454"/>
      <c r="D489" s="452"/>
      <c r="E489" s="454"/>
      <c r="F489" s="454"/>
      <c r="G489" s="452"/>
      <c r="H489" s="452"/>
      <c r="I489" s="454"/>
      <c r="J489" s="454"/>
      <c r="K489" s="454"/>
      <c r="L489" s="452"/>
    </row>
    <row r="490" spans="1:12" x14ac:dyDescent="0.3">
      <c r="A490" s="442">
        <f t="shared" si="7"/>
        <v>0</v>
      </c>
      <c r="B490" s="453"/>
      <c r="C490" s="454"/>
      <c r="D490" s="452"/>
      <c r="E490" s="454"/>
      <c r="F490" s="454"/>
      <c r="G490" s="452"/>
      <c r="H490" s="452"/>
      <c r="I490" s="454"/>
      <c r="J490" s="454"/>
      <c r="K490" s="454"/>
      <c r="L490" s="452"/>
    </row>
    <row r="491" spans="1:12" x14ac:dyDescent="0.3">
      <c r="A491" s="442">
        <f t="shared" si="7"/>
        <v>0</v>
      </c>
      <c r="B491" s="453"/>
      <c r="C491" s="454"/>
      <c r="D491" s="452"/>
      <c r="E491" s="454"/>
      <c r="F491" s="454"/>
      <c r="G491" s="452"/>
      <c r="H491" s="452"/>
      <c r="I491" s="454"/>
      <c r="J491" s="454"/>
      <c r="K491" s="454"/>
      <c r="L491" s="452"/>
    </row>
    <row r="492" spans="1:12" x14ac:dyDescent="0.3">
      <c r="A492" s="442">
        <f t="shared" si="7"/>
        <v>0</v>
      </c>
      <c r="B492" s="453"/>
      <c r="C492" s="454"/>
      <c r="D492" s="452"/>
      <c r="E492" s="454"/>
      <c r="F492" s="454"/>
      <c r="G492" s="452"/>
      <c r="H492" s="452"/>
      <c r="I492" s="454"/>
      <c r="J492" s="454"/>
      <c r="K492" s="454"/>
      <c r="L492" s="452"/>
    </row>
    <row r="493" spans="1:12" x14ac:dyDescent="0.3">
      <c r="A493" s="442">
        <f t="shared" si="7"/>
        <v>0</v>
      </c>
      <c r="B493" s="453"/>
      <c r="C493" s="454"/>
      <c r="D493" s="452"/>
      <c r="E493" s="454"/>
      <c r="F493" s="454"/>
      <c r="G493" s="452"/>
      <c r="H493" s="452"/>
      <c r="I493" s="454"/>
      <c r="J493" s="454"/>
      <c r="K493" s="454"/>
      <c r="L493" s="452"/>
    </row>
    <row r="494" spans="1:12" x14ac:dyDescent="0.3">
      <c r="A494" s="442">
        <f t="shared" si="7"/>
        <v>0</v>
      </c>
      <c r="B494" s="453"/>
      <c r="C494" s="454"/>
      <c r="D494" s="452"/>
      <c r="E494" s="454"/>
      <c r="F494" s="454"/>
      <c r="G494" s="452"/>
      <c r="H494" s="452"/>
      <c r="I494" s="454"/>
      <c r="J494" s="454"/>
      <c r="K494" s="454"/>
      <c r="L494" s="452"/>
    </row>
    <row r="495" spans="1:12" x14ac:dyDescent="0.3">
      <c r="A495" s="442">
        <f t="shared" si="7"/>
        <v>0</v>
      </c>
      <c r="B495" s="453"/>
      <c r="C495" s="454"/>
      <c r="D495" s="452"/>
      <c r="E495" s="454"/>
      <c r="F495" s="454"/>
      <c r="G495" s="452"/>
      <c r="H495" s="452"/>
      <c r="I495" s="454"/>
      <c r="J495" s="454"/>
      <c r="K495" s="454"/>
      <c r="L495" s="452"/>
    </row>
    <row r="496" spans="1:12" x14ac:dyDescent="0.3">
      <c r="A496" s="442">
        <f t="shared" si="7"/>
        <v>0</v>
      </c>
      <c r="B496" s="453"/>
      <c r="C496" s="454"/>
      <c r="D496" s="452"/>
      <c r="E496" s="454"/>
      <c r="F496" s="454"/>
      <c r="G496" s="452"/>
      <c r="H496" s="452"/>
      <c r="I496" s="454"/>
      <c r="J496" s="454"/>
      <c r="K496" s="454"/>
      <c r="L496" s="452"/>
    </row>
    <row r="497" spans="1:12" x14ac:dyDescent="0.3">
      <c r="A497" s="442">
        <f t="shared" si="7"/>
        <v>0</v>
      </c>
      <c r="B497" s="453"/>
      <c r="C497" s="454"/>
      <c r="D497" s="452"/>
      <c r="E497" s="454"/>
      <c r="F497" s="454"/>
      <c r="G497" s="452"/>
      <c r="H497" s="452"/>
      <c r="I497" s="454"/>
      <c r="J497" s="454"/>
      <c r="K497" s="454"/>
      <c r="L497" s="452"/>
    </row>
    <row r="498" spans="1:12" x14ac:dyDescent="0.3">
      <c r="A498" s="442">
        <f t="shared" si="7"/>
        <v>0</v>
      </c>
      <c r="B498" s="453"/>
      <c r="C498" s="454"/>
      <c r="D498" s="452"/>
      <c r="E498" s="454"/>
      <c r="F498" s="454"/>
      <c r="G498" s="452"/>
      <c r="H498" s="452"/>
      <c r="I498" s="454"/>
      <c r="J498" s="454"/>
      <c r="K498" s="454"/>
      <c r="L498" s="452"/>
    </row>
    <row r="499" spans="1:12" x14ac:dyDescent="0.3">
      <c r="A499" s="442">
        <f t="shared" si="7"/>
        <v>0</v>
      </c>
      <c r="B499" s="453"/>
      <c r="C499" s="454"/>
      <c r="D499" s="452"/>
      <c r="E499" s="454"/>
      <c r="F499" s="454"/>
      <c r="G499" s="454"/>
      <c r="H499" s="452"/>
      <c r="I499" s="454"/>
      <c r="J499" s="454"/>
      <c r="K499" s="454"/>
      <c r="L499" s="454"/>
    </row>
    <row r="500" spans="1:12" x14ac:dyDescent="0.3">
      <c r="A500" s="442">
        <f t="shared" si="7"/>
        <v>0</v>
      </c>
      <c r="B500" s="453"/>
      <c r="C500" s="454"/>
      <c r="D500" s="452"/>
      <c r="E500" s="454"/>
      <c r="F500" s="454"/>
      <c r="G500" s="454"/>
      <c r="H500" s="452"/>
      <c r="I500" s="454"/>
      <c r="J500" s="454"/>
      <c r="K500" s="454"/>
      <c r="L500" s="454"/>
    </row>
    <row r="501" spans="1:12" x14ac:dyDescent="0.3">
      <c r="A501" s="442">
        <f t="shared" ref="A501:A564" si="8">IF(D501="",0,SUBSTITUTE(LOWER(D501),"km","")+0)</f>
        <v>0</v>
      </c>
      <c r="B501" s="453"/>
      <c r="C501" s="454"/>
      <c r="D501" s="452"/>
      <c r="E501" s="454"/>
      <c r="F501" s="454"/>
      <c r="G501" s="454"/>
      <c r="H501" s="452"/>
      <c r="I501" s="454"/>
      <c r="J501" s="454"/>
      <c r="K501" s="454"/>
      <c r="L501" s="454"/>
    </row>
    <row r="502" spans="1:12" x14ac:dyDescent="0.3">
      <c r="A502" s="442">
        <f t="shared" si="8"/>
        <v>0</v>
      </c>
      <c r="B502" s="453"/>
      <c r="C502" s="454"/>
      <c r="D502" s="452"/>
      <c r="E502" s="454"/>
      <c r="F502" s="454"/>
      <c r="G502" s="454"/>
      <c r="H502" s="452"/>
      <c r="I502" s="454"/>
      <c r="J502" s="454"/>
      <c r="K502" s="454"/>
      <c r="L502" s="454"/>
    </row>
    <row r="503" spans="1:12" x14ac:dyDescent="0.3">
      <c r="A503" s="442">
        <f t="shared" si="8"/>
        <v>0</v>
      </c>
      <c r="B503" s="453"/>
      <c r="C503" s="454"/>
      <c r="D503" s="452"/>
      <c r="E503" s="454"/>
      <c r="F503" s="454"/>
      <c r="G503" s="454"/>
      <c r="H503" s="452"/>
      <c r="I503" s="454"/>
      <c r="J503" s="454"/>
      <c r="K503" s="454"/>
      <c r="L503" s="454"/>
    </row>
    <row r="504" spans="1:12" x14ac:dyDescent="0.3">
      <c r="A504" s="442">
        <f t="shared" si="8"/>
        <v>0</v>
      </c>
      <c r="B504" s="453"/>
      <c r="C504" s="454"/>
      <c r="D504" s="452"/>
      <c r="E504" s="454"/>
      <c r="F504" s="454"/>
      <c r="G504" s="454"/>
      <c r="H504" s="452"/>
      <c r="I504" s="454"/>
      <c r="J504" s="454"/>
      <c r="K504" s="454"/>
      <c r="L504" s="454"/>
    </row>
    <row r="505" spans="1:12" x14ac:dyDescent="0.3">
      <c r="A505" s="442">
        <f t="shared" si="8"/>
        <v>0</v>
      </c>
      <c r="B505" s="453"/>
      <c r="C505" s="454"/>
      <c r="D505" s="452"/>
      <c r="E505" s="454"/>
      <c r="F505" s="454"/>
      <c r="G505" s="454"/>
      <c r="H505" s="452"/>
      <c r="I505" s="454"/>
      <c r="J505" s="454"/>
      <c r="K505" s="454"/>
      <c r="L505" s="454"/>
    </row>
    <row r="506" spans="1:12" x14ac:dyDescent="0.3">
      <c r="A506" s="442">
        <f t="shared" si="8"/>
        <v>0</v>
      </c>
      <c r="B506" s="453"/>
      <c r="C506" s="454"/>
      <c r="D506" s="452"/>
      <c r="E506" s="454"/>
      <c r="F506" s="454"/>
      <c r="G506" s="454"/>
      <c r="H506" s="452"/>
      <c r="I506" s="454"/>
      <c r="J506" s="454"/>
      <c r="K506" s="454"/>
      <c r="L506" s="454"/>
    </row>
    <row r="507" spans="1:12" x14ac:dyDescent="0.3">
      <c r="A507" s="442">
        <f t="shared" si="8"/>
        <v>0</v>
      </c>
      <c r="B507" s="453"/>
      <c r="C507" s="454"/>
      <c r="D507" s="452"/>
      <c r="E507" s="454"/>
      <c r="F507" s="454"/>
      <c r="G507" s="454"/>
      <c r="H507" s="452"/>
      <c r="I507" s="454"/>
      <c r="J507" s="454"/>
      <c r="K507" s="454"/>
      <c r="L507" s="454"/>
    </row>
    <row r="508" spans="1:12" x14ac:dyDescent="0.3">
      <c r="A508" s="442">
        <f t="shared" si="8"/>
        <v>0</v>
      </c>
      <c r="B508" s="453"/>
      <c r="C508" s="454"/>
      <c r="D508" s="452"/>
      <c r="E508" s="454"/>
      <c r="F508" s="454"/>
      <c r="G508" s="454"/>
      <c r="H508" s="452"/>
      <c r="I508" s="454"/>
      <c r="J508" s="454"/>
      <c r="K508" s="454"/>
      <c r="L508" s="454"/>
    </row>
    <row r="509" spans="1:12" x14ac:dyDescent="0.3">
      <c r="A509" s="442">
        <f t="shared" si="8"/>
        <v>0</v>
      </c>
      <c r="B509" s="453"/>
      <c r="C509" s="454"/>
      <c r="D509" s="452"/>
      <c r="E509" s="454"/>
      <c r="F509" s="454"/>
      <c r="G509" s="454"/>
      <c r="H509" s="452"/>
      <c r="I509" s="454"/>
      <c r="J509" s="454"/>
      <c r="K509" s="454"/>
      <c r="L509" s="454"/>
    </row>
    <row r="510" spans="1:12" x14ac:dyDescent="0.3">
      <c r="A510" s="442">
        <f t="shared" si="8"/>
        <v>0</v>
      </c>
      <c r="B510" s="453"/>
      <c r="C510" s="454"/>
      <c r="D510" s="452"/>
      <c r="E510" s="454"/>
      <c r="F510" s="454"/>
      <c r="G510" s="454"/>
      <c r="H510" s="452"/>
      <c r="I510" s="454"/>
      <c r="J510" s="454"/>
      <c r="K510" s="454"/>
      <c r="L510" s="454"/>
    </row>
    <row r="511" spans="1:12" x14ac:dyDescent="0.3">
      <c r="A511" s="442">
        <f t="shared" si="8"/>
        <v>0</v>
      </c>
      <c r="B511" s="453"/>
      <c r="C511" s="454"/>
      <c r="D511" s="452"/>
      <c r="E511" s="454"/>
      <c r="F511" s="454"/>
      <c r="G511" s="454"/>
      <c r="H511" s="452"/>
      <c r="I511" s="454"/>
      <c r="J511" s="454"/>
      <c r="K511" s="454"/>
      <c r="L511" s="454"/>
    </row>
    <row r="512" spans="1:12" x14ac:dyDescent="0.3">
      <c r="A512" s="442">
        <f t="shared" si="8"/>
        <v>0</v>
      </c>
      <c r="B512" s="453"/>
      <c r="C512" s="454"/>
      <c r="D512" s="452"/>
      <c r="E512" s="454"/>
      <c r="F512" s="454"/>
      <c r="G512" s="454"/>
      <c r="H512" s="452"/>
      <c r="I512" s="454"/>
      <c r="J512" s="454"/>
      <c r="K512" s="454"/>
      <c r="L512" s="454"/>
    </row>
    <row r="513" spans="1:12" x14ac:dyDescent="0.3">
      <c r="A513" s="442">
        <f t="shared" si="8"/>
        <v>0</v>
      </c>
      <c r="B513" s="453"/>
      <c r="C513" s="454"/>
      <c r="D513" s="452"/>
      <c r="E513" s="454"/>
      <c r="F513" s="454"/>
      <c r="G513" s="454"/>
      <c r="H513" s="452"/>
      <c r="I513" s="454"/>
      <c r="J513" s="454"/>
      <c r="K513" s="454"/>
      <c r="L513" s="454"/>
    </row>
    <row r="514" spans="1:12" x14ac:dyDescent="0.3">
      <c r="A514" s="442">
        <f t="shared" si="8"/>
        <v>0</v>
      </c>
      <c r="B514" s="453"/>
      <c r="C514" s="454"/>
      <c r="D514" s="452"/>
      <c r="E514" s="454"/>
      <c r="F514" s="454"/>
      <c r="G514" s="454"/>
      <c r="H514" s="452"/>
      <c r="I514" s="454"/>
      <c r="J514" s="454"/>
      <c r="K514" s="454"/>
      <c r="L514" s="454"/>
    </row>
    <row r="515" spans="1:12" x14ac:dyDescent="0.3">
      <c r="A515" s="442">
        <f t="shared" si="8"/>
        <v>0</v>
      </c>
      <c r="B515" s="453"/>
      <c r="C515" s="454"/>
      <c r="D515" s="452"/>
      <c r="E515" s="454"/>
      <c r="F515" s="454"/>
      <c r="G515" s="454"/>
      <c r="H515" s="452"/>
      <c r="I515" s="454"/>
      <c r="J515" s="454"/>
      <c r="K515" s="454"/>
      <c r="L515" s="454"/>
    </row>
    <row r="516" spans="1:12" x14ac:dyDescent="0.3">
      <c r="A516" s="442">
        <f t="shared" si="8"/>
        <v>0</v>
      </c>
      <c r="B516" s="453"/>
      <c r="C516" s="454"/>
      <c r="D516" s="452"/>
      <c r="E516" s="454"/>
      <c r="F516" s="454"/>
      <c r="G516" s="454"/>
      <c r="H516" s="452"/>
      <c r="I516" s="454"/>
      <c r="J516" s="454"/>
      <c r="K516" s="454"/>
      <c r="L516" s="454"/>
    </row>
    <row r="517" spans="1:12" x14ac:dyDescent="0.3">
      <c r="A517" s="442">
        <f t="shared" si="8"/>
        <v>0</v>
      </c>
      <c r="B517" s="453"/>
      <c r="C517" s="454"/>
      <c r="D517" s="452"/>
      <c r="E517" s="454"/>
      <c r="F517" s="454"/>
      <c r="G517" s="454"/>
      <c r="H517" s="452"/>
      <c r="I517" s="454"/>
      <c r="J517" s="454"/>
      <c r="K517" s="454"/>
      <c r="L517" s="454"/>
    </row>
    <row r="518" spans="1:12" x14ac:dyDescent="0.3">
      <c r="A518" s="442">
        <f t="shared" si="8"/>
        <v>0</v>
      </c>
      <c r="B518" s="453"/>
      <c r="C518" s="454"/>
      <c r="D518" s="452"/>
      <c r="E518" s="454"/>
      <c r="F518" s="454"/>
      <c r="G518" s="454"/>
      <c r="H518" s="452"/>
      <c r="I518" s="454"/>
      <c r="J518" s="454"/>
      <c r="K518" s="454"/>
      <c r="L518" s="454"/>
    </row>
    <row r="519" spans="1:12" x14ac:dyDescent="0.3">
      <c r="A519" s="442">
        <f t="shared" si="8"/>
        <v>0</v>
      </c>
      <c r="B519" s="453"/>
      <c r="C519" s="454"/>
      <c r="D519" s="452"/>
      <c r="E519" s="454"/>
      <c r="F519" s="454"/>
      <c r="G519" s="454"/>
      <c r="H519" s="452"/>
      <c r="I519" s="454"/>
      <c r="J519" s="454"/>
      <c r="K519" s="454"/>
      <c r="L519" s="454"/>
    </row>
    <row r="520" spans="1:12" x14ac:dyDescent="0.3">
      <c r="A520" s="442">
        <f t="shared" si="8"/>
        <v>0</v>
      </c>
      <c r="B520" s="453"/>
      <c r="C520" s="454"/>
      <c r="D520" s="452"/>
      <c r="E520" s="454"/>
      <c r="F520" s="454"/>
      <c r="G520" s="454"/>
      <c r="H520" s="452"/>
      <c r="I520" s="454"/>
      <c r="J520" s="454"/>
      <c r="K520" s="454"/>
      <c r="L520" s="454"/>
    </row>
    <row r="521" spans="1:12" x14ac:dyDescent="0.3">
      <c r="A521" s="442">
        <f t="shared" si="8"/>
        <v>0</v>
      </c>
      <c r="B521" s="453"/>
      <c r="C521" s="454"/>
      <c r="D521" s="452"/>
      <c r="E521" s="454"/>
      <c r="F521" s="454"/>
      <c r="G521" s="454"/>
      <c r="H521" s="452"/>
      <c r="I521" s="454"/>
      <c r="J521" s="454"/>
      <c r="K521" s="454"/>
      <c r="L521" s="454"/>
    </row>
    <row r="522" spans="1:12" x14ac:dyDescent="0.3">
      <c r="A522" s="442">
        <f t="shared" si="8"/>
        <v>0</v>
      </c>
      <c r="B522" s="453"/>
      <c r="C522" s="454"/>
      <c r="D522" s="452"/>
      <c r="E522" s="454"/>
      <c r="F522" s="454"/>
      <c r="G522" s="454"/>
      <c r="H522" s="452"/>
      <c r="I522" s="454"/>
      <c r="J522" s="454"/>
      <c r="K522" s="454"/>
      <c r="L522" s="454"/>
    </row>
    <row r="523" spans="1:12" x14ac:dyDescent="0.3">
      <c r="A523" s="442">
        <f t="shared" si="8"/>
        <v>0</v>
      </c>
      <c r="B523" s="453"/>
      <c r="C523" s="454"/>
      <c r="D523" s="452"/>
      <c r="E523" s="454"/>
      <c r="F523" s="454"/>
      <c r="G523" s="454"/>
      <c r="H523" s="452"/>
      <c r="I523" s="454"/>
      <c r="J523" s="454"/>
      <c r="K523" s="454"/>
      <c r="L523" s="454"/>
    </row>
    <row r="524" spans="1:12" x14ac:dyDescent="0.3">
      <c r="A524" s="442">
        <f t="shared" si="8"/>
        <v>0</v>
      </c>
      <c r="B524" s="453"/>
      <c r="C524" s="454"/>
      <c r="D524" s="452"/>
      <c r="E524" s="454"/>
      <c r="F524" s="454"/>
      <c r="G524" s="454"/>
      <c r="H524" s="452"/>
      <c r="I524" s="454"/>
      <c r="J524" s="454"/>
      <c r="K524" s="454"/>
      <c r="L524" s="454"/>
    </row>
    <row r="525" spans="1:12" x14ac:dyDescent="0.3">
      <c r="A525" s="442">
        <f t="shared" si="8"/>
        <v>0</v>
      </c>
      <c r="B525" s="453"/>
      <c r="C525" s="454"/>
      <c r="D525" s="452"/>
      <c r="E525" s="454"/>
      <c r="F525" s="454"/>
      <c r="G525" s="454"/>
      <c r="H525" s="452"/>
      <c r="I525" s="454"/>
      <c r="J525" s="454"/>
      <c r="K525" s="454"/>
      <c r="L525" s="454"/>
    </row>
    <row r="526" spans="1:12" x14ac:dyDescent="0.3">
      <c r="A526" s="442">
        <f t="shared" si="8"/>
        <v>0</v>
      </c>
      <c r="B526" s="453"/>
      <c r="C526" s="454"/>
      <c r="D526" s="452"/>
      <c r="E526" s="454"/>
      <c r="F526" s="454"/>
      <c r="G526" s="454"/>
      <c r="H526" s="452"/>
      <c r="I526" s="454"/>
      <c r="J526" s="454"/>
      <c r="K526" s="454"/>
      <c r="L526" s="454"/>
    </row>
    <row r="527" spans="1:12" x14ac:dyDescent="0.3">
      <c r="A527" s="442">
        <f t="shared" si="8"/>
        <v>0</v>
      </c>
      <c r="B527" s="453"/>
      <c r="C527" s="454"/>
      <c r="D527" s="452"/>
      <c r="E527" s="454"/>
      <c r="F527" s="454"/>
      <c r="G527" s="454"/>
      <c r="H527" s="452"/>
      <c r="I527" s="454"/>
      <c r="J527" s="454"/>
      <c r="K527" s="454"/>
      <c r="L527" s="454"/>
    </row>
    <row r="528" spans="1:12" x14ac:dyDescent="0.3">
      <c r="A528" s="442">
        <f t="shared" si="8"/>
        <v>0</v>
      </c>
      <c r="B528" s="453"/>
      <c r="C528" s="454"/>
      <c r="D528" s="452"/>
      <c r="E528" s="454"/>
      <c r="F528" s="454"/>
      <c r="G528" s="454"/>
      <c r="H528" s="452"/>
      <c r="I528" s="454"/>
      <c r="J528" s="454"/>
      <c r="K528" s="454"/>
      <c r="L528" s="454"/>
    </row>
    <row r="529" spans="1:12" x14ac:dyDescent="0.3">
      <c r="A529" s="442">
        <f t="shared" si="8"/>
        <v>0</v>
      </c>
      <c r="B529" s="453"/>
      <c r="C529" s="454"/>
      <c r="D529" s="452"/>
      <c r="E529" s="454"/>
      <c r="F529" s="454"/>
      <c r="G529" s="454"/>
      <c r="H529" s="452"/>
      <c r="I529" s="454"/>
      <c r="J529" s="454"/>
      <c r="K529" s="454"/>
      <c r="L529" s="454"/>
    </row>
    <row r="530" spans="1:12" x14ac:dyDescent="0.3">
      <c r="A530" s="442">
        <f t="shared" si="8"/>
        <v>0</v>
      </c>
      <c r="B530" s="453"/>
      <c r="C530" s="454"/>
      <c r="D530" s="452"/>
      <c r="E530" s="454"/>
      <c r="F530" s="454"/>
      <c r="G530" s="454"/>
      <c r="H530" s="452"/>
      <c r="I530" s="454"/>
      <c r="J530" s="454"/>
      <c r="K530" s="454"/>
      <c r="L530" s="454"/>
    </row>
    <row r="531" spans="1:12" x14ac:dyDescent="0.3">
      <c r="A531" s="442">
        <f t="shared" si="8"/>
        <v>0</v>
      </c>
      <c r="B531" s="453"/>
      <c r="C531" s="454"/>
      <c r="D531" s="452"/>
      <c r="E531" s="454"/>
      <c r="F531" s="454"/>
      <c r="G531" s="454"/>
      <c r="H531" s="452"/>
      <c r="I531" s="454"/>
      <c r="J531" s="454"/>
      <c r="K531" s="454"/>
      <c r="L531" s="454"/>
    </row>
    <row r="532" spans="1:12" x14ac:dyDescent="0.3">
      <c r="A532" s="442">
        <f t="shared" si="8"/>
        <v>0</v>
      </c>
      <c r="B532" s="453"/>
      <c r="C532" s="454"/>
      <c r="D532" s="452"/>
      <c r="E532" s="454"/>
      <c r="F532" s="454"/>
      <c r="G532" s="454"/>
      <c r="H532" s="452"/>
      <c r="I532" s="454"/>
      <c r="J532" s="454"/>
      <c r="K532" s="454"/>
      <c r="L532" s="454"/>
    </row>
    <row r="533" spans="1:12" x14ac:dyDescent="0.3">
      <c r="A533" s="442">
        <f t="shared" si="8"/>
        <v>0</v>
      </c>
      <c r="B533" s="453"/>
      <c r="C533" s="454"/>
      <c r="D533" s="452"/>
      <c r="E533" s="454"/>
      <c r="F533" s="454"/>
      <c r="G533" s="454"/>
      <c r="H533" s="452"/>
      <c r="I533" s="454"/>
      <c r="J533" s="454"/>
      <c r="K533" s="454"/>
      <c r="L533" s="454"/>
    </row>
    <row r="534" spans="1:12" x14ac:dyDescent="0.3">
      <c r="A534" s="442">
        <f t="shared" si="8"/>
        <v>0</v>
      </c>
      <c r="B534" s="453"/>
      <c r="C534" s="454"/>
      <c r="D534" s="452"/>
      <c r="E534" s="454"/>
      <c r="F534" s="454"/>
      <c r="G534" s="454"/>
      <c r="H534" s="452"/>
      <c r="I534" s="454"/>
      <c r="J534" s="454"/>
      <c r="K534" s="454"/>
      <c r="L534" s="454"/>
    </row>
    <row r="535" spans="1:12" x14ac:dyDescent="0.3">
      <c r="A535" s="442">
        <f t="shared" si="8"/>
        <v>0</v>
      </c>
      <c r="B535" s="453"/>
      <c r="C535" s="454"/>
      <c r="D535" s="452"/>
      <c r="E535" s="454"/>
      <c r="F535" s="454"/>
      <c r="G535" s="454"/>
      <c r="H535" s="452"/>
      <c r="I535" s="454"/>
      <c r="J535" s="454"/>
      <c r="K535" s="454"/>
      <c r="L535" s="454"/>
    </row>
    <row r="536" spans="1:12" x14ac:dyDescent="0.3">
      <c r="A536" s="442">
        <f t="shared" si="8"/>
        <v>0</v>
      </c>
      <c r="B536" s="453"/>
      <c r="C536" s="454"/>
      <c r="D536" s="452"/>
      <c r="E536" s="454"/>
      <c r="F536" s="454"/>
      <c r="G536" s="454"/>
      <c r="H536" s="452"/>
      <c r="I536" s="454"/>
      <c r="J536" s="454"/>
      <c r="K536" s="454"/>
      <c r="L536" s="454"/>
    </row>
    <row r="537" spans="1:12" x14ac:dyDescent="0.3">
      <c r="A537" s="442">
        <f t="shared" si="8"/>
        <v>0</v>
      </c>
      <c r="B537" s="453"/>
      <c r="C537" s="454"/>
      <c r="D537" s="452"/>
      <c r="E537" s="454"/>
      <c r="F537" s="454"/>
      <c r="G537" s="454"/>
      <c r="H537" s="452"/>
      <c r="I537" s="454"/>
      <c r="J537" s="454"/>
      <c r="K537" s="454"/>
      <c r="L537" s="454"/>
    </row>
    <row r="538" spans="1:12" x14ac:dyDescent="0.3">
      <c r="A538" s="442">
        <f t="shared" si="8"/>
        <v>0</v>
      </c>
      <c r="B538" s="453"/>
      <c r="C538" s="454"/>
      <c r="D538" s="452"/>
      <c r="E538" s="454"/>
      <c r="F538" s="454"/>
      <c r="G538" s="454"/>
      <c r="H538" s="452"/>
      <c r="I538" s="454"/>
      <c r="J538" s="454"/>
      <c r="K538" s="454"/>
      <c r="L538" s="454"/>
    </row>
    <row r="539" spans="1:12" x14ac:dyDescent="0.3">
      <c r="A539" s="442">
        <f t="shared" si="8"/>
        <v>0</v>
      </c>
      <c r="B539" s="453"/>
      <c r="C539" s="454"/>
      <c r="D539" s="452"/>
      <c r="E539" s="454"/>
      <c r="F539" s="454"/>
      <c r="G539" s="454"/>
      <c r="H539" s="452"/>
      <c r="I539" s="454"/>
      <c r="J539" s="454"/>
      <c r="K539" s="454"/>
      <c r="L539" s="454"/>
    </row>
    <row r="540" spans="1:12" x14ac:dyDescent="0.3">
      <c r="A540" s="442">
        <f t="shared" si="8"/>
        <v>0</v>
      </c>
      <c r="B540" s="453"/>
      <c r="C540" s="454"/>
      <c r="D540" s="452"/>
      <c r="E540" s="454"/>
      <c r="F540" s="454"/>
      <c r="G540" s="454"/>
      <c r="H540" s="452"/>
      <c r="I540" s="454"/>
      <c r="J540" s="454"/>
      <c r="K540" s="454"/>
      <c r="L540" s="454"/>
    </row>
    <row r="541" spans="1:12" x14ac:dyDescent="0.3">
      <c r="A541" s="442">
        <f t="shared" si="8"/>
        <v>0</v>
      </c>
      <c r="B541" s="453"/>
      <c r="C541" s="454"/>
      <c r="D541" s="452"/>
      <c r="E541" s="454"/>
      <c r="F541" s="454"/>
      <c r="G541" s="454"/>
      <c r="H541" s="452"/>
      <c r="I541" s="454"/>
      <c r="J541" s="454"/>
      <c r="K541" s="454"/>
      <c r="L541" s="454"/>
    </row>
    <row r="542" spans="1:12" x14ac:dyDescent="0.3">
      <c r="A542" s="442">
        <f t="shared" si="8"/>
        <v>0</v>
      </c>
      <c r="B542" s="453"/>
      <c r="C542" s="454"/>
      <c r="D542" s="452"/>
      <c r="E542" s="454"/>
      <c r="F542" s="454"/>
      <c r="G542" s="454"/>
      <c r="H542" s="452"/>
      <c r="I542" s="454"/>
      <c r="J542" s="454"/>
      <c r="K542" s="454"/>
      <c r="L542" s="454"/>
    </row>
    <row r="543" spans="1:12" x14ac:dyDescent="0.3">
      <c r="A543" s="442">
        <f t="shared" si="8"/>
        <v>0</v>
      </c>
      <c r="B543" s="453"/>
      <c r="C543" s="454"/>
      <c r="D543" s="452"/>
      <c r="E543" s="454"/>
      <c r="F543" s="454"/>
      <c r="G543" s="454"/>
      <c r="H543" s="452"/>
      <c r="I543" s="454"/>
      <c r="J543" s="454"/>
      <c r="K543" s="454"/>
      <c r="L543" s="454"/>
    </row>
    <row r="544" spans="1:12" x14ac:dyDescent="0.3">
      <c r="A544" s="442">
        <f t="shared" si="8"/>
        <v>0</v>
      </c>
      <c r="B544" s="453"/>
      <c r="C544" s="454"/>
      <c r="D544" s="452"/>
      <c r="E544" s="454"/>
      <c r="F544" s="454"/>
      <c r="G544" s="454"/>
      <c r="H544" s="452"/>
      <c r="I544" s="454"/>
      <c r="J544" s="454"/>
      <c r="K544" s="454"/>
      <c r="L544" s="454"/>
    </row>
    <row r="545" spans="1:12" x14ac:dyDescent="0.3">
      <c r="A545" s="442">
        <f t="shared" si="8"/>
        <v>0</v>
      </c>
      <c r="B545" s="453"/>
      <c r="C545" s="454"/>
      <c r="D545" s="452"/>
      <c r="E545" s="454"/>
      <c r="F545" s="454"/>
      <c r="G545" s="454"/>
      <c r="H545" s="452"/>
      <c r="I545" s="454"/>
      <c r="J545" s="454"/>
      <c r="K545" s="454"/>
      <c r="L545" s="454"/>
    </row>
    <row r="546" spans="1:12" x14ac:dyDescent="0.3">
      <c r="A546" s="442">
        <f t="shared" si="8"/>
        <v>0</v>
      </c>
      <c r="B546" s="453"/>
      <c r="C546" s="454"/>
      <c r="D546" s="452"/>
      <c r="E546" s="454"/>
      <c r="F546" s="454"/>
      <c r="G546" s="454"/>
      <c r="H546" s="452"/>
      <c r="I546" s="454"/>
      <c r="J546" s="454"/>
      <c r="K546" s="454"/>
      <c r="L546" s="454"/>
    </row>
    <row r="547" spans="1:12" x14ac:dyDescent="0.3">
      <c r="A547" s="442">
        <f t="shared" si="8"/>
        <v>0</v>
      </c>
      <c r="B547" s="453"/>
      <c r="C547" s="454"/>
      <c r="D547" s="452"/>
      <c r="E547" s="454"/>
      <c r="F547" s="454"/>
      <c r="G547" s="454"/>
      <c r="H547" s="452"/>
      <c r="I547" s="454"/>
      <c r="J547" s="454"/>
      <c r="K547" s="454"/>
      <c r="L547" s="454"/>
    </row>
    <row r="548" spans="1:12" x14ac:dyDescent="0.3">
      <c r="A548" s="442">
        <f t="shared" si="8"/>
        <v>0</v>
      </c>
      <c r="B548" s="453"/>
      <c r="C548" s="454"/>
      <c r="D548" s="452"/>
      <c r="E548" s="454"/>
      <c r="F548" s="454"/>
      <c r="G548" s="454"/>
      <c r="H548" s="452"/>
      <c r="I548" s="454"/>
      <c r="J548" s="454"/>
      <c r="K548" s="454"/>
      <c r="L548" s="454"/>
    </row>
    <row r="549" spans="1:12" x14ac:dyDescent="0.3">
      <c r="A549" s="442">
        <f t="shared" si="8"/>
        <v>0</v>
      </c>
      <c r="B549" s="453"/>
      <c r="C549" s="454"/>
      <c r="D549" s="452"/>
      <c r="E549" s="454"/>
      <c r="F549" s="454"/>
      <c r="G549" s="454"/>
      <c r="H549" s="452"/>
      <c r="I549" s="454"/>
      <c r="J549" s="454"/>
      <c r="K549" s="454"/>
      <c r="L549" s="454"/>
    </row>
    <row r="550" spans="1:12" x14ac:dyDescent="0.3">
      <c r="A550" s="442">
        <f t="shared" si="8"/>
        <v>0</v>
      </c>
      <c r="B550" s="453"/>
      <c r="C550" s="454"/>
      <c r="D550" s="452"/>
      <c r="E550" s="454"/>
      <c r="F550" s="454"/>
      <c r="G550" s="454"/>
      <c r="H550" s="452"/>
      <c r="I550" s="454"/>
      <c r="J550" s="454"/>
      <c r="K550" s="454"/>
      <c r="L550" s="454"/>
    </row>
    <row r="551" spans="1:12" x14ac:dyDescent="0.3">
      <c r="A551" s="442">
        <f t="shared" si="8"/>
        <v>0</v>
      </c>
      <c r="B551" s="453"/>
      <c r="C551" s="454"/>
      <c r="D551" s="452"/>
      <c r="E551" s="454"/>
      <c r="F551" s="454"/>
      <c r="G551" s="454"/>
      <c r="H551" s="452"/>
      <c r="I551" s="454"/>
      <c r="J551" s="454"/>
      <c r="K551" s="454"/>
      <c r="L551" s="454"/>
    </row>
    <row r="552" spans="1:12" x14ac:dyDescent="0.3">
      <c r="A552" s="442">
        <f t="shared" si="8"/>
        <v>0</v>
      </c>
      <c r="B552" s="453"/>
      <c r="C552" s="454"/>
      <c r="D552" s="452"/>
      <c r="E552" s="454"/>
      <c r="F552" s="454"/>
      <c r="G552" s="454"/>
      <c r="H552" s="452"/>
      <c r="I552" s="454"/>
      <c r="J552" s="454"/>
      <c r="K552" s="454"/>
      <c r="L552" s="454"/>
    </row>
    <row r="553" spans="1:12" x14ac:dyDescent="0.3">
      <c r="A553" s="442">
        <f t="shared" si="8"/>
        <v>0</v>
      </c>
      <c r="B553" s="453"/>
      <c r="C553" s="454"/>
      <c r="D553" s="452"/>
      <c r="E553" s="454"/>
      <c r="F553" s="454"/>
      <c r="G553" s="454"/>
      <c r="H553" s="452"/>
      <c r="I553" s="454"/>
      <c r="J553" s="454"/>
      <c r="K553" s="454"/>
      <c r="L553" s="454"/>
    </row>
    <row r="554" spans="1:12" x14ac:dyDescent="0.3">
      <c r="A554" s="442">
        <f t="shared" si="8"/>
        <v>0</v>
      </c>
      <c r="B554" s="453"/>
      <c r="C554" s="454"/>
      <c r="D554" s="452"/>
      <c r="E554" s="454"/>
      <c r="F554" s="454"/>
      <c r="G554" s="454"/>
      <c r="H554" s="452"/>
      <c r="I554" s="454"/>
      <c r="J554" s="454"/>
      <c r="K554" s="454"/>
      <c r="L554" s="454"/>
    </row>
    <row r="555" spans="1:12" x14ac:dyDescent="0.3">
      <c r="A555" s="442">
        <f t="shared" si="8"/>
        <v>0</v>
      </c>
      <c r="B555" s="453"/>
      <c r="C555" s="454"/>
      <c r="D555" s="452"/>
      <c r="E555" s="454"/>
      <c r="F555" s="454"/>
      <c r="G555" s="454"/>
      <c r="H555" s="452"/>
      <c r="I555" s="454"/>
      <c r="J555" s="454"/>
      <c r="K555" s="454"/>
      <c r="L555" s="454"/>
    </row>
    <row r="556" spans="1:12" x14ac:dyDescent="0.3">
      <c r="A556" s="442">
        <f t="shared" si="8"/>
        <v>0</v>
      </c>
      <c r="B556" s="453"/>
      <c r="C556" s="454"/>
      <c r="D556" s="452"/>
      <c r="E556" s="454"/>
      <c r="F556" s="454"/>
      <c r="G556" s="454"/>
      <c r="H556" s="452"/>
      <c r="I556" s="454"/>
      <c r="J556" s="454"/>
      <c r="K556" s="454"/>
      <c r="L556" s="454"/>
    </row>
    <row r="557" spans="1:12" x14ac:dyDescent="0.3">
      <c r="A557" s="442">
        <f t="shared" si="8"/>
        <v>0</v>
      </c>
      <c r="B557" s="453"/>
      <c r="C557" s="454"/>
      <c r="D557" s="452"/>
      <c r="E557" s="454"/>
      <c r="F557" s="454"/>
      <c r="G557" s="454"/>
      <c r="H557" s="452"/>
      <c r="I557" s="454"/>
      <c r="J557" s="454"/>
      <c r="K557" s="454"/>
      <c r="L557" s="454"/>
    </row>
    <row r="558" spans="1:12" x14ac:dyDescent="0.3">
      <c r="A558" s="442">
        <f t="shared" si="8"/>
        <v>0</v>
      </c>
      <c r="B558" s="453"/>
      <c r="C558" s="454"/>
      <c r="D558" s="452"/>
      <c r="E558" s="454"/>
      <c r="F558" s="454"/>
      <c r="G558" s="454"/>
      <c r="H558" s="452"/>
      <c r="I558" s="454"/>
      <c r="J558" s="454"/>
      <c r="K558" s="454"/>
      <c r="L558" s="454"/>
    </row>
    <row r="559" spans="1:12" x14ac:dyDescent="0.3">
      <c r="A559" s="442">
        <f t="shared" si="8"/>
        <v>0</v>
      </c>
      <c r="B559" s="453"/>
      <c r="C559" s="454"/>
      <c r="D559" s="452"/>
      <c r="E559" s="454"/>
      <c r="F559" s="454"/>
      <c r="G559" s="454"/>
      <c r="H559" s="452"/>
      <c r="I559" s="454"/>
      <c r="J559" s="454"/>
      <c r="K559" s="454"/>
      <c r="L559" s="454"/>
    </row>
    <row r="560" spans="1:12" x14ac:dyDescent="0.3">
      <c r="A560" s="442">
        <f t="shared" si="8"/>
        <v>0</v>
      </c>
      <c r="B560" s="453"/>
      <c r="C560" s="454"/>
      <c r="D560" s="452"/>
      <c r="E560" s="454"/>
      <c r="F560" s="454"/>
      <c r="G560" s="454"/>
      <c r="H560" s="452"/>
      <c r="I560" s="454"/>
      <c r="J560" s="454"/>
      <c r="K560" s="454"/>
      <c r="L560" s="454"/>
    </row>
    <row r="561" spans="1:12" x14ac:dyDescent="0.3">
      <c r="A561" s="442">
        <f t="shared" si="8"/>
        <v>0</v>
      </c>
      <c r="B561" s="453"/>
      <c r="C561" s="454"/>
      <c r="D561" s="452"/>
      <c r="E561" s="454"/>
      <c r="F561" s="454"/>
      <c r="G561" s="454"/>
      <c r="H561" s="452"/>
      <c r="I561" s="454"/>
      <c r="J561" s="454"/>
      <c r="K561" s="454"/>
      <c r="L561" s="454"/>
    </row>
    <row r="562" spans="1:12" x14ac:dyDescent="0.3">
      <c r="A562" s="442">
        <f t="shared" si="8"/>
        <v>0</v>
      </c>
      <c r="B562" s="453"/>
      <c r="C562" s="454"/>
      <c r="D562" s="452"/>
      <c r="E562" s="454"/>
      <c r="F562" s="454"/>
      <c r="G562" s="454"/>
      <c r="H562" s="452"/>
      <c r="I562" s="454"/>
      <c r="J562" s="454"/>
      <c r="K562" s="454"/>
      <c r="L562" s="454"/>
    </row>
    <row r="563" spans="1:12" x14ac:dyDescent="0.3">
      <c r="A563" s="442">
        <f t="shared" si="8"/>
        <v>0</v>
      </c>
      <c r="B563" s="453"/>
      <c r="C563" s="454"/>
      <c r="D563" s="452"/>
      <c r="E563" s="454"/>
      <c r="F563" s="454"/>
      <c r="G563" s="454"/>
      <c r="H563" s="452"/>
      <c r="I563" s="454"/>
      <c r="J563" s="454"/>
      <c r="K563" s="454"/>
      <c r="L563" s="454"/>
    </row>
    <row r="564" spans="1:12" x14ac:dyDescent="0.3">
      <c r="A564" s="442">
        <f t="shared" si="8"/>
        <v>0</v>
      </c>
      <c r="B564" s="453"/>
      <c r="C564" s="454"/>
      <c r="D564" s="452"/>
      <c r="E564" s="454"/>
      <c r="F564" s="454"/>
      <c r="G564" s="454"/>
      <c r="H564" s="452"/>
      <c r="I564" s="454"/>
      <c r="J564" s="454"/>
      <c r="K564" s="454"/>
      <c r="L564" s="454"/>
    </row>
    <row r="565" spans="1:12" x14ac:dyDescent="0.3">
      <c r="A565" s="442">
        <f t="shared" ref="A565:A628" si="9">IF(D565="",0,SUBSTITUTE(LOWER(D565),"km","")+0)</f>
        <v>0</v>
      </c>
      <c r="B565" s="453"/>
      <c r="C565" s="454"/>
      <c r="D565" s="452"/>
      <c r="E565" s="454"/>
      <c r="F565" s="454"/>
      <c r="G565" s="454"/>
      <c r="H565" s="452"/>
      <c r="I565" s="454"/>
      <c r="J565" s="454"/>
      <c r="K565" s="454"/>
      <c r="L565" s="454"/>
    </row>
    <row r="566" spans="1:12" x14ac:dyDescent="0.3">
      <c r="A566" s="442">
        <f t="shared" si="9"/>
        <v>0</v>
      </c>
      <c r="B566" s="453"/>
      <c r="C566" s="454"/>
      <c r="D566" s="452"/>
      <c r="E566" s="454"/>
      <c r="F566" s="454"/>
      <c r="G566" s="454"/>
      <c r="H566" s="452"/>
      <c r="I566" s="454"/>
      <c r="J566" s="454"/>
      <c r="K566" s="454"/>
      <c r="L566" s="454"/>
    </row>
    <row r="567" spans="1:12" x14ac:dyDescent="0.3">
      <c r="A567" s="442">
        <f t="shared" si="9"/>
        <v>0</v>
      </c>
      <c r="B567" s="453"/>
      <c r="C567" s="454"/>
      <c r="D567" s="452"/>
      <c r="E567" s="454"/>
      <c r="F567" s="454"/>
      <c r="G567" s="454"/>
      <c r="H567" s="452"/>
      <c r="I567" s="454"/>
      <c r="J567" s="454"/>
      <c r="K567" s="454"/>
      <c r="L567" s="454"/>
    </row>
    <row r="568" spans="1:12" x14ac:dyDescent="0.3">
      <c r="A568" s="442">
        <f t="shared" si="9"/>
        <v>0</v>
      </c>
      <c r="B568" s="453"/>
      <c r="C568" s="454"/>
      <c r="D568" s="452"/>
      <c r="E568" s="454"/>
      <c r="F568" s="454"/>
      <c r="G568" s="454"/>
      <c r="H568" s="452"/>
      <c r="I568" s="454"/>
      <c r="J568" s="454"/>
      <c r="K568" s="454"/>
      <c r="L568" s="454"/>
    </row>
    <row r="569" spans="1:12" x14ac:dyDescent="0.3">
      <c r="A569" s="442">
        <f t="shared" si="9"/>
        <v>0</v>
      </c>
      <c r="B569" s="453"/>
      <c r="C569" s="454"/>
      <c r="D569" s="452"/>
      <c r="E569" s="454"/>
      <c r="F569" s="454"/>
      <c r="G569" s="454"/>
      <c r="H569" s="452"/>
      <c r="I569" s="454"/>
      <c r="J569" s="454"/>
      <c r="K569" s="454"/>
      <c r="L569" s="454"/>
    </row>
    <row r="570" spans="1:12" x14ac:dyDescent="0.3">
      <c r="A570" s="442">
        <f t="shared" si="9"/>
        <v>0</v>
      </c>
      <c r="B570" s="453"/>
      <c r="C570" s="454"/>
      <c r="D570" s="452"/>
      <c r="E570" s="454"/>
      <c r="F570" s="454"/>
      <c r="G570" s="454"/>
      <c r="H570" s="452"/>
      <c r="I570" s="454"/>
      <c r="J570" s="454"/>
      <c r="K570" s="454"/>
      <c r="L570" s="454"/>
    </row>
    <row r="571" spans="1:12" x14ac:dyDescent="0.3">
      <c r="A571" s="442">
        <f t="shared" si="9"/>
        <v>0</v>
      </c>
      <c r="B571" s="453"/>
      <c r="C571" s="454"/>
      <c r="D571" s="452"/>
      <c r="E571" s="454"/>
      <c r="F571" s="454"/>
      <c r="G571" s="454"/>
      <c r="H571" s="452"/>
      <c r="I571" s="454"/>
      <c r="J571" s="454"/>
      <c r="K571" s="454"/>
      <c r="L571" s="454"/>
    </row>
    <row r="572" spans="1:12" x14ac:dyDescent="0.3">
      <c r="A572" s="442">
        <f t="shared" si="9"/>
        <v>0</v>
      </c>
      <c r="B572" s="453"/>
      <c r="C572" s="454"/>
      <c r="D572" s="452"/>
      <c r="E572" s="454"/>
      <c r="F572" s="454"/>
      <c r="G572" s="454"/>
      <c r="H572" s="452"/>
      <c r="I572" s="454"/>
      <c r="J572" s="454"/>
      <c r="K572" s="454"/>
      <c r="L572" s="454"/>
    </row>
    <row r="573" spans="1:12" x14ac:dyDescent="0.3">
      <c r="A573" s="442">
        <f t="shared" si="9"/>
        <v>0</v>
      </c>
      <c r="B573" s="453"/>
      <c r="C573" s="454"/>
      <c r="D573" s="452"/>
      <c r="E573" s="454"/>
      <c r="F573" s="454"/>
      <c r="G573" s="454"/>
      <c r="H573" s="452"/>
      <c r="I573" s="454"/>
      <c r="J573" s="454"/>
      <c r="K573" s="454"/>
      <c r="L573" s="454"/>
    </row>
    <row r="574" spans="1:12" x14ac:dyDescent="0.3">
      <c r="A574" s="442">
        <f t="shared" si="9"/>
        <v>0</v>
      </c>
      <c r="B574" s="453"/>
      <c r="C574" s="454"/>
      <c r="D574" s="452"/>
      <c r="E574" s="454"/>
      <c r="F574" s="454"/>
      <c r="G574" s="454"/>
      <c r="H574" s="452"/>
      <c r="I574" s="454"/>
      <c r="J574" s="454"/>
      <c r="K574" s="454"/>
      <c r="L574" s="454"/>
    </row>
    <row r="575" spans="1:12" x14ac:dyDescent="0.3">
      <c r="A575" s="442">
        <f t="shared" si="9"/>
        <v>0</v>
      </c>
      <c r="B575" s="453"/>
      <c r="C575" s="454"/>
      <c r="D575" s="452"/>
      <c r="E575" s="454"/>
      <c r="F575" s="454"/>
      <c r="G575" s="454"/>
      <c r="H575" s="452"/>
      <c r="I575" s="454"/>
      <c r="J575" s="454"/>
      <c r="K575" s="454"/>
      <c r="L575" s="454"/>
    </row>
    <row r="576" spans="1:12" x14ac:dyDescent="0.3">
      <c r="A576" s="442">
        <f t="shared" si="9"/>
        <v>0</v>
      </c>
      <c r="B576" s="453"/>
      <c r="C576" s="454"/>
      <c r="D576" s="452"/>
      <c r="E576" s="454"/>
      <c r="F576" s="454"/>
      <c r="G576" s="454"/>
      <c r="H576" s="452"/>
      <c r="I576" s="454"/>
      <c r="J576" s="454"/>
      <c r="K576" s="454"/>
      <c r="L576" s="454"/>
    </row>
    <row r="577" spans="1:12" x14ac:dyDescent="0.3">
      <c r="A577" s="442">
        <f t="shared" si="9"/>
        <v>0</v>
      </c>
      <c r="B577" s="453"/>
      <c r="C577" s="454"/>
      <c r="D577" s="452"/>
      <c r="E577" s="454"/>
      <c r="F577" s="454"/>
      <c r="G577" s="454"/>
      <c r="H577" s="452"/>
      <c r="I577" s="454"/>
      <c r="J577" s="454"/>
      <c r="K577" s="454"/>
      <c r="L577" s="454"/>
    </row>
    <row r="578" spans="1:12" x14ac:dyDescent="0.3">
      <c r="A578" s="442">
        <f t="shared" si="9"/>
        <v>0</v>
      </c>
      <c r="B578" s="453"/>
      <c r="C578" s="454"/>
      <c r="D578" s="452"/>
      <c r="E578" s="454"/>
      <c r="F578" s="454"/>
      <c r="G578" s="454"/>
      <c r="H578" s="452"/>
      <c r="I578" s="454"/>
      <c r="J578" s="454"/>
      <c r="K578" s="454"/>
      <c r="L578" s="454"/>
    </row>
    <row r="579" spans="1:12" x14ac:dyDescent="0.3">
      <c r="A579" s="442">
        <f t="shared" si="9"/>
        <v>0</v>
      </c>
      <c r="B579" s="453"/>
      <c r="C579" s="454"/>
      <c r="D579" s="452"/>
      <c r="E579" s="454"/>
      <c r="F579" s="454"/>
      <c r="G579" s="454"/>
      <c r="H579" s="452"/>
      <c r="I579" s="454"/>
      <c r="J579" s="454"/>
      <c r="K579" s="454"/>
      <c r="L579" s="454"/>
    </row>
    <row r="580" spans="1:12" x14ac:dyDescent="0.3">
      <c r="A580" s="442">
        <f t="shared" si="9"/>
        <v>0</v>
      </c>
      <c r="B580" s="453"/>
      <c r="C580" s="454"/>
      <c r="D580" s="452"/>
      <c r="E580" s="454"/>
      <c r="F580" s="454"/>
      <c r="G580" s="454"/>
      <c r="H580" s="452"/>
      <c r="I580" s="454"/>
      <c r="J580" s="454"/>
      <c r="K580" s="454"/>
      <c r="L580" s="454"/>
    </row>
    <row r="581" spans="1:12" x14ac:dyDescent="0.3">
      <c r="A581" s="442">
        <f t="shared" si="9"/>
        <v>0</v>
      </c>
      <c r="B581" s="453"/>
      <c r="C581" s="454"/>
      <c r="D581" s="452"/>
      <c r="E581" s="454"/>
      <c r="F581" s="454"/>
      <c r="G581" s="454"/>
      <c r="H581" s="452"/>
      <c r="I581" s="454"/>
      <c r="J581" s="454"/>
      <c r="K581" s="454"/>
      <c r="L581" s="454"/>
    </row>
    <row r="582" spans="1:12" x14ac:dyDescent="0.3">
      <c r="A582" s="442">
        <f t="shared" si="9"/>
        <v>0</v>
      </c>
      <c r="B582" s="453"/>
      <c r="C582" s="454"/>
      <c r="D582" s="452"/>
      <c r="E582" s="454"/>
      <c r="F582" s="454"/>
      <c r="G582" s="454"/>
      <c r="H582" s="452"/>
      <c r="I582" s="454"/>
      <c r="J582" s="454"/>
      <c r="K582" s="454"/>
      <c r="L582" s="454"/>
    </row>
    <row r="583" spans="1:12" x14ac:dyDescent="0.3">
      <c r="A583" s="442">
        <f t="shared" si="9"/>
        <v>0</v>
      </c>
      <c r="B583" s="453"/>
      <c r="C583" s="454"/>
      <c r="D583" s="452"/>
      <c r="E583" s="454"/>
      <c r="F583" s="454"/>
      <c r="G583" s="454"/>
      <c r="H583" s="452"/>
      <c r="I583" s="454"/>
      <c r="J583" s="454"/>
      <c r="K583" s="454"/>
      <c r="L583" s="454"/>
    </row>
    <row r="584" spans="1:12" x14ac:dyDescent="0.3">
      <c r="A584" s="442">
        <f t="shared" si="9"/>
        <v>0</v>
      </c>
      <c r="B584" s="453"/>
      <c r="C584" s="454"/>
      <c r="D584" s="452"/>
      <c r="E584" s="454"/>
      <c r="F584" s="454"/>
      <c r="G584" s="454"/>
      <c r="H584" s="452"/>
      <c r="I584" s="454"/>
      <c r="J584" s="454"/>
      <c r="K584" s="454"/>
      <c r="L584" s="454"/>
    </row>
    <row r="585" spans="1:12" x14ac:dyDescent="0.3">
      <c r="A585" s="442">
        <f t="shared" si="9"/>
        <v>0</v>
      </c>
      <c r="B585" s="453"/>
      <c r="C585" s="454"/>
      <c r="D585" s="452"/>
      <c r="E585" s="454"/>
      <c r="F585" s="454"/>
      <c r="G585" s="454"/>
      <c r="H585" s="452"/>
      <c r="I585" s="454"/>
      <c r="J585" s="454"/>
      <c r="K585" s="454"/>
      <c r="L585" s="454"/>
    </row>
    <row r="586" spans="1:12" x14ac:dyDescent="0.3">
      <c r="A586" s="442">
        <f t="shared" si="9"/>
        <v>0</v>
      </c>
      <c r="B586" s="453"/>
      <c r="C586" s="454"/>
      <c r="D586" s="452"/>
      <c r="E586" s="454"/>
      <c r="F586" s="454"/>
      <c r="G586" s="454"/>
      <c r="H586" s="452"/>
      <c r="I586" s="454"/>
      <c r="J586" s="454"/>
      <c r="K586" s="454"/>
      <c r="L586" s="454"/>
    </row>
    <row r="587" spans="1:12" x14ac:dyDescent="0.3">
      <c r="A587" s="442">
        <f t="shared" si="9"/>
        <v>0</v>
      </c>
      <c r="B587" s="453"/>
      <c r="C587" s="454"/>
      <c r="D587" s="452"/>
      <c r="E587" s="454"/>
      <c r="F587" s="454"/>
      <c r="G587" s="454"/>
      <c r="H587" s="452"/>
      <c r="I587" s="454"/>
      <c r="J587" s="454"/>
      <c r="K587" s="454"/>
      <c r="L587" s="454"/>
    </row>
    <row r="588" spans="1:12" x14ac:dyDescent="0.3">
      <c r="A588" s="442">
        <f t="shared" si="9"/>
        <v>0</v>
      </c>
      <c r="B588" s="453"/>
      <c r="C588" s="454"/>
      <c r="D588" s="452"/>
      <c r="E588" s="454"/>
      <c r="F588" s="454"/>
      <c r="G588" s="454"/>
      <c r="H588" s="452"/>
      <c r="I588" s="454"/>
      <c r="J588" s="454"/>
      <c r="K588" s="454"/>
      <c r="L588" s="454"/>
    </row>
    <row r="589" spans="1:12" x14ac:dyDescent="0.3">
      <c r="A589" s="442">
        <f t="shared" si="9"/>
        <v>0</v>
      </c>
      <c r="B589" s="453"/>
      <c r="C589" s="454"/>
      <c r="D589" s="452"/>
      <c r="E589" s="454"/>
      <c r="F589" s="454"/>
      <c r="G589" s="454"/>
      <c r="H589" s="452"/>
      <c r="I589" s="454"/>
      <c r="J589" s="454"/>
      <c r="K589" s="454"/>
      <c r="L589" s="454"/>
    </row>
    <row r="590" spans="1:12" x14ac:dyDescent="0.3">
      <c r="A590" s="442">
        <f t="shared" si="9"/>
        <v>0</v>
      </c>
      <c r="B590" s="453"/>
      <c r="C590" s="454"/>
      <c r="D590" s="452"/>
      <c r="E590" s="454"/>
      <c r="F590" s="454"/>
      <c r="G590" s="454"/>
      <c r="H590" s="452"/>
      <c r="I590" s="454"/>
      <c r="J590" s="454"/>
      <c r="K590" s="454"/>
      <c r="L590" s="454"/>
    </row>
    <row r="591" spans="1:12" x14ac:dyDescent="0.3">
      <c r="A591" s="442">
        <f t="shared" si="9"/>
        <v>0</v>
      </c>
      <c r="B591" s="453"/>
      <c r="C591" s="454"/>
      <c r="D591" s="452"/>
      <c r="E591" s="454"/>
      <c r="F591" s="454"/>
      <c r="G591" s="454"/>
      <c r="H591" s="452"/>
      <c r="I591" s="454"/>
      <c r="J591" s="454"/>
      <c r="K591" s="454"/>
      <c r="L591" s="454"/>
    </row>
    <row r="592" spans="1:12" x14ac:dyDescent="0.3">
      <c r="A592" s="442">
        <f t="shared" si="9"/>
        <v>0</v>
      </c>
      <c r="B592" s="453"/>
      <c r="C592" s="454"/>
      <c r="D592" s="452"/>
      <c r="E592" s="454"/>
      <c r="F592" s="454"/>
      <c r="G592" s="454"/>
      <c r="H592" s="452"/>
      <c r="I592" s="454"/>
      <c r="J592" s="454"/>
      <c r="K592" s="454"/>
      <c r="L592" s="454"/>
    </row>
    <row r="593" spans="1:12" x14ac:dyDescent="0.3">
      <c r="A593" s="442">
        <f t="shared" si="9"/>
        <v>0</v>
      </c>
      <c r="B593" s="453"/>
      <c r="C593" s="454"/>
      <c r="D593" s="452"/>
      <c r="E593" s="454"/>
      <c r="F593" s="454"/>
      <c r="G593" s="454"/>
      <c r="H593" s="452"/>
      <c r="I593" s="454"/>
      <c r="J593" s="454"/>
      <c r="K593" s="454"/>
      <c r="L593" s="454"/>
    </row>
    <row r="594" spans="1:12" x14ac:dyDescent="0.3">
      <c r="A594" s="442">
        <f t="shared" si="9"/>
        <v>0</v>
      </c>
      <c r="B594" s="453"/>
      <c r="C594" s="454"/>
      <c r="D594" s="452"/>
      <c r="E594" s="454"/>
      <c r="F594" s="454"/>
      <c r="G594" s="454"/>
      <c r="H594" s="452"/>
      <c r="I594" s="454"/>
      <c r="J594" s="454"/>
      <c r="K594" s="454"/>
      <c r="L594" s="454"/>
    </row>
    <row r="595" spans="1:12" x14ac:dyDescent="0.3">
      <c r="A595" s="442">
        <f t="shared" si="9"/>
        <v>0</v>
      </c>
      <c r="B595" s="453"/>
      <c r="C595" s="454"/>
      <c r="D595" s="452"/>
      <c r="E595" s="454"/>
      <c r="F595" s="454"/>
      <c r="G595" s="454"/>
      <c r="H595" s="452"/>
      <c r="I595" s="454"/>
      <c r="J595" s="454"/>
      <c r="K595" s="454"/>
      <c r="L595" s="454"/>
    </row>
    <row r="596" spans="1:12" x14ac:dyDescent="0.3">
      <c r="A596" s="442">
        <f t="shared" si="9"/>
        <v>0</v>
      </c>
      <c r="B596" s="453"/>
      <c r="C596" s="454"/>
      <c r="D596" s="452"/>
      <c r="E596" s="454"/>
      <c r="F596" s="454"/>
      <c r="G596" s="454"/>
      <c r="H596" s="452"/>
      <c r="I596" s="454"/>
      <c r="J596" s="454"/>
      <c r="K596" s="454"/>
      <c r="L596" s="454"/>
    </row>
    <row r="597" spans="1:12" x14ac:dyDescent="0.3">
      <c r="A597" s="442">
        <f t="shared" si="9"/>
        <v>0</v>
      </c>
      <c r="B597" s="453"/>
      <c r="C597" s="454"/>
      <c r="D597" s="452"/>
      <c r="E597" s="454"/>
      <c r="F597" s="454"/>
      <c r="G597" s="454"/>
      <c r="H597" s="452"/>
      <c r="I597" s="454"/>
      <c r="J597" s="454"/>
      <c r="K597" s="454"/>
      <c r="L597" s="454"/>
    </row>
    <row r="598" spans="1:12" x14ac:dyDescent="0.3">
      <c r="A598" s="442">
        <f t="shared" si="9"/>
        <v>0</v>
      </c>
      <c r="B598" s="453"/>
      <c r="C598" s="454"/>
      <c r="D598" s="452"/>
      <c r="E598" s="454"/>
      <c r="F598" s="454"/>
      <c r="G598" s="454"/>
      <c r="H598" s="452"/>
      <c r="I598" s="454"/>
      <c r="J598" s="454"/>
      <c r="K598" s="454"/>
      <c r="L598" s="454"/>
    </row>
    <row r="599" spans="1:12" x14ac:dyDescent="0.3">
      <c r="A599" s="442">
        <f t="shared" si="9"/>
        <v>0</v>
      </c>
      <c r="B599" s="453"/>
      <c r="C599" s="454"/>
      <c r="D599" s="452"/>
      <c r="E599" s="454"/>
      <c r="F599" s="454"/>
      <c r="G599" s="454"/>
      <c r="H599" s="452"/>
      <c r="I599" s="454"/>
      <c r="J599" s="454"/>
      <c r="K599" s="454"/>
      <c r="L599" s="454"/>
    </row>
    <row r="600" spans="1:12" x14ac:dyDescent="0.3">
      <c r="A600" s="442">
        <f t="shared" si="9"/>
        <v>0</v>
      </c>
      <c r="B600" s="453"/>
      <c r="C600" s="454"/>
      <c r="D600" s="452"/>
      <c r="E600" s="454"/>
      <c r="F600" s="454"/>
      <c r="G600" s="454"/>
      <c r="H600" s="452"/>
      <c r="I600" s="454"/>
      <c r="J600" s="454"/>
      <c r="K600" s="454"/>
      <c r="L600" s="454"/>
    </row>
    <row r="601" spans="1:12" x14ac:dyDescent="0.3">
      <c r="A601" s="442">
        <f t="shared" si="9"/>
        <v>0</v>
      </c>
      <c r="B601" s="453"/>
      <c r="C601" s="454"/>
      <c r="D601" s="452"/>
      <c r="E601" s="454"/>
      <c r="F601" s="454"/>
      <c r="G601" s="454"/>
      <c r="H601" s="452"/>
      <c r="I601" s="454"/>
      <c r="J601" s="454"/>
      <c r="K601" s="454"/>
      <c r="L601" s="454"/>
    </row>
    <row r="602" spans="1:12" x14ac:dyDescent="0.3">
      <c r="A602" s="442">
        <f t="shared" si="9"/>
        <v>0</v>
      </c>
      <c r="B602" s="453"/>
      <c r="C602" s="454"/>
      <c r="D602" s="452"/>
      <c r="E602" s="454"/>
      <c r="F602" s="454"/>
      <c r="G602" s="454"/>
      <c r="H602" s="452"/>
      <c r="I602" s="454"/>
      <c r="J602" s="454"/>
      <c r="K602" s="454"/>
      <c r="L602" s="454"/>
    </row>
    <row r="603" spans="1:12" x14ac:dyDescent="0.3">
      <c r="A603" s="442">
        <f t="shared" si="9"/>
        <v>0</v>
      </c>
      <c r="B603" s="453"/>
      <c r="C603" s="454"/>
      <c r="D603" s="452"/>
      <c r="E603" s="454"/>
      <c r="F603" s="454"/>
      <c r="G603" s="454"/>
      <c r="H603" s="452"/>
      <c r="I603" s="454"/>
      <c r="J603" s="454"/>
      <c r="K603" s="454"/>
      <c r="L603" s="454"/>
    </row>
    <row r="604" spans="1:12" x14ac:dyDescent="0.3">
      <c r="A604" s="442">
        <f t="shared" si="9"/>
        <v>0</v>
      </c>
      <c r="B604" s="453"/>
      <c r="C604" s="454"/>
      <c r="D604" s="452"/>
      <c r="E604" s="454"/>
      <c r="F604" s="454"/>
      <c r="G604" s="454"/>
      <c r="H604" s="452"/>
      <c r="I604" s="454"/>
      <c r="J604" s="454"/>
      <c r="K604" s="454"/>
      <c r="L604" s="454"/>
    </row>
    <row r="605" spans="1:12" x14ac:dyDescent="0.3">
      <c r="A605" s="442">
        <f t="shared" si="9"/>
        <v>0</v>
      </c>
      <c r="B605" s="453"/>
      <c r="C605" s="454"/>
      <c r="D605" s="452"/>
      <c r="E605" s="454"/>
      <c r="F605" s="454"/>
      <c r="G605" s="454"/>
      <c r="H605" s="452"/>
      <c r="I605" s="454"/>
      <c r="J605" s="454"/>
      <c r="K605" s="454"/>
      <c r="L605" s="454"/>
    </row>
    <row r="606" spans="1:12" x14ac:dyDescent="0.3">
      <c r="A606" s="442">
        <f t="shared" si="9"/>
        <v>0</v>
      </c>
      <c r="B606" s="453"/>
      <c r="C606" s="454"/>
      <c r="D606" s="452"/>
      <c r="E606" s="454"/>
      <c r="F606" s="454"/>
      <c r="G606" s="454"/>
      <c r="H606" s="452"/>
      <c r="I606" s="454"/>
      <c r="J606" s="454"/>
      <c r="K606" s="454"/>
      <c r="L606" s="454"/>
    </row>
    <row r="607" spans="1:12" x14ac:dyDescent="0.3">
      <c r="A607" s="442">
        <f t="shared" si="9"/>
        <v>0</v>
      </c>
      <c r="B607" s="453"/>
      <c r="C607" s="454"/>
      <c r="D607" s="452"/>
      <c r="E607" s="454"/>
      <c r="F607" s="454"/>
      <c r="G607" s="454"/>
      <c r="H607" s="452"/>
      <c r="I607" s="454"/>
      <c r="J607" s="454"/>
      <c r="K607" s="454"/>
      <c r="L607" s="454"/>
    </row>
    <row r="608" spans="1:12" x14ac:dyDescent="0.3">
      <c r="A608" s="442">
        <f t="shared" si="9"/>
        <v>0</v>
      </c>
      <c r="B608" s="453"/>
      <c r="C608" s="454"/>
      <c r="D608" s="452"/>
      <c r="E608" s="454"/>
      <c r="F608" s="454"/>
      <c r="G608" s="454"/>
      <c r="H608" s="452"/>
      <c r="I608" s="454"/>
      <c r="J608" s="454"/>
      <c r="K608" s="454"/>
      <c r="L608" s="454"/>
    </row>
    <row r="609" spans="1:12" x14ac:dyDescent="0.3">
      <c r="A609" s="442">
        <f t="shared" si="9"/>
        <v>0</v>
      </c>
      <c r="B609" s="453"/>
      <c r="C609" s="454"/>
      <c r="D609" s="452"/>
      <c r="E609" s="454"/>
      <c r="F609" s="454"/>
      <c r="G609" s="454"/>
      <c r="H609" s="452"/>
      <c r="I609" s="454"/>
      <c r="J609" s="454"/>
      <c r="K609" s="454"/>
      <c r="L609" s="454"/>
    </row>
    <row r="610" spans="1:12" x14ac:dyDescent="0.3">
      <c r="A610" s="442">
        <f t="shared" si="9"/>
        <v>0</v>
      </c>
      <c r="B610" s="453"/>
      <c r="C610" s="454"/>
      <c r="D610" s="452"/>
      <c r="E610" s="454"/>
      <c r="F610" s="454"/>
      <c r="G610" s="454"/>
      <c r="H610" s="452"/>
      <c r="I610" s="454"/>
      <c r="J610" s="454"/>
      <c r="K610" s="454"/>
      <c r="L610" s="454"/>
    </row>
    <row r="611" spans="1:12" x14ac:dyDescent="0.3">
      <c r="A611" s="442">
        <f t="shared" si="9"/>
        <v>0</v>
      </c>
      <c r="B611" s="453"/>
      <c r="C611" s="454"/>
      <c r="D611" s="452"/>
      <c r="E611" s="454"/>
      <c r="F611" s="454"/>
      <c r="G611" s="454"/>
      <c r="H611" s="452"/>
      <c r="I611" s="454"/>
      <c r="J611" s="454"/>
      <c r="K611" s="454"/>
      <c r="L611" s="454"/>
    </row>
    <row r="612" spans="1:12" x14ac:dyDescent="0.3">
      <c r="A612" s="442">
        <f t="shared" si="9"/>
        <v>0</v>
      </c>
      <c r="B612" s="453"/>
      <c r="C612" s="454"/>
      <c r="D612" s="452"/>
      <c r="E612" s="454"/>
      <c r="F612" s="454"/>
      <c r="G612" s="454"/>
      <c r="H612" s="452"/>
      <c r="I612" s="454"/>
      <c r="J612" s="454"/>
      <c r="K612" s="454"/>
      <c r="L612" s="454"/>
    </row>
    <row r="613" spans="1:12" x14ac:dyDescent="0.3">
      <c r="A613" s="442">
        <f t="shared" si="9"/>
        <v>0</v>
      </c>
      <c r="B613" s="453"/>
      <c r="C613" s="454"/>
      <c r="D613" s="452"/>
      <c r="E613" s="454"/>
      <c r="F613" s="454"/>
      <c r="G613" s="454"/>
      <c r="H613" s="452"/>
      <c r="I613" s="454"/>
      <c r="J613" s="454"/>
      <c r="K613" s="454"/>
      <c r="L613" s="454"/>
    </row>
    <row r="614" spans="1:12" x14ac:dyDescent="0.3">
      <c r="A614" s="442">
        <f t="shared" si="9"/>
        <v>0</v>
      </c>
      <c r="B614" s="453"/>
      <c r="C614" s="454"/>
      <c r="D614" s="452"/>
      <c r="E614" s="454"/>
      <c r="F614" s="454"/>
      <c r="G614" s="454"/>
      <c r="H614" s="452"/>
      <c r="I614" s="454"/>
      <c r="J614" s="454"/>
      <c r="K614" s="454"/>
      <c r="L614" s="454"/>
    </row>
    <row r="615" spans="1:12" x14ac:dyDescent="0.3">
      <c r="A615" s="442">
        <f t="shared" si="9"/>
        <v>0</v>
      </c>
      <c r="B615" s="453"/>
      <c r="C615" s="454"/>
      <c r="D615" s="452"/>
      <c r="E615" s="454"/>
      <c r="F615" s="454"/>
      <c r="G615" s="454"/>
      <c r="H615" s="452"/>
      <c r="I615" s="454"/>
      <c r="J615" s="454"/>
      <c r="K615" s="454"/>
      <c r="L615" s="454"/>
    </row>
    <row r="616" spans="1:12" x14ac:dyDescent="0.3">
      <c r="A616" s="442">
        <f t="shared" si="9"/>
        <v>0</v>
      </c>
      <c r="B616" s="453"/>
      <c r="C616" s="454"/>
      <c r="D616" s="452"/>
      <c r="E616" s="454"/>
      <c r="F616" s="454"/>
      <c r="G616" s="454"/>
      <c r="H616" s="452"/>
      <c r="I616" s="454"/>
      <c r="J616" s="454"/>
      <c r="K616" s="454"/>
      <c r="L616" s="454"/>
    </row>
    <row r="617" spans="1:12" x14ac:dyDescent="0.3">
      <c r="A617" s="442">
        <f t="shared" si="9"/>
        <v>0</v>
      </c>
      <c r="B617" s="453"/>
      <c r="C617" s="454"/>
      <c r="D617" s="452"/>
      <c r="E617" s="454"/>
      <c r="F617" s="454"/>
      <c r="G617" s="454"/>
      <c r="H617" s="452"/>
      <c r="I617" s="454"/>
      <c r="J617" s="454"/>
      <c r="K617" s="454"/>
      <c r="L617" s="454"/>
    </row>
    <row r="618" spans="1:12" x14ac:dyDescent="0.3">
      <c r="A618" s="442">
        <f t="shared" si="9"/>
        <v>0</v>
      </c>
      <c r="B618" s="453"/>
      <c r="C618" s="454"/>
      <c r="D618" s="452"/>
      <c r="E618" s="454"/>
      <c r="F618" s="454"/>
      <c r="G618" s="454"/>
      <c r="H618" s="452"/>
      <c r="I618" s="454"/>
      <c r="J618" s="454"/>
      <c r="K618" s="454"/>
      <c r="L618" s="454"/>
    </row>
    <row r="619" spans="1:12" x14ac:dyDescent="0.3">
      <c r="A619" s="442">
        <f t="shared" si="9"/>
        <v>0</v>
      </c>
      <c r="B619" s="453"/>
      <c r="C619" s="454"/>
      <c r="D619" s="452"/>
      <c r="E619" s="454"/>
      <c r="F619" s="454"/>
      <c r="G619" s="454"/>
      <c r="H619" s="452"/>
      <c r="I619" s="454"/>
      <c r="J619" s="454"/>
      <c r="K619" s="454"/>
      <c r="L619" s="454"/>
    </row>
    <row r="620" spans="1:12" x14ac:dyDescent="0.3">
      <c r="A620" s="442">
        <f t="shared" si="9"/>
        <v>0</v>
      </c>
      <c r="B620" s="453"/>
      <c r="C620" s="454"/>
      <c r="D620" s="452"/>
      <c r="E620" s="454"/>
      <c r="F620" s="454"/>
      <c r="G620" s="454"/>
      <c r="H620" s="452"/>
      <c r="I620" s="454"/>
      <c r="J620" s="454"/>
      <c r="K620" s="454"/>
      <c r="L620" s="454"/>
    </row>
    <row r="621" spans="1:12" x14ac:dyDescent="0.3">
      <c r="A621" s="442">
        <f t="shared" si="9"/>
        <v>0</v>
      </c>
      <c r="B621" s="453"/>
      <c r="C621" s="454"/>
      <c r="D621" s="452"/>
      <c r="E621" s="454"/>
      <c r="F621" s="454"/>
      <c r="G621" s="454"/>
      <c r="H621" s="452"/>
      <c r="I621" s="454"/>
      <c r="J621" s="454"/>
      <c r="K621" s="454"/>
      <c r="L621" s="454"/>
    </row>
    <row r="622" spans="1:12" x14ac:dyDescent="0.3">
      <c r="A622" s="442">
        <f t="shared" si="9"/>
        <v>0</v>
      </c>
      <c r="B622" s="453"/>
      <c r="C622" s="454"/>
      <c r="D622" s="452"/>
      <c r="E622" s="454"/>
      <c r="F622" s="454"/>
      <c r="G622" s="454"/>
      <c r="H622" s="452"/>
      <c r="I622" s="454"/>
      <c r="J622" s="454"/>
      <c r="K622" s="454"/>
      <c r="L622" s="454"/>
    </row>
    <row r="623" spans="1:12" x14ac:dyDescent="0.3">
      <c r="A623" s="442">
        <f t="shared" si="9"/>
        <v>0</v>
      </c>
      <c r="B623" s="453"/>
      <c r="C623" s="454"/>
      <c r="D623" s="452"/>
      <c r="E623" s="454"/>
      <c r="F623" s="454"/>
      <c r="G623" s="454"/>
      <c r="H623" s="452"/>
      <c r="I623" s="454"/>
      <c r="J623" s="454"/>
      <c r="K623" s="454"/>
      <c r="L623" s="454"/>
    </row>
    <row r="624" spans="1:12" x14ac:dyDescent="0.3">
      <c r="A624" s="442">
        <f t="shared" si="9"/>
        <v>0</v>
      </c>
      <c r="B624" s="453"/>
      <c r="C624" s="454"/>
      <c r="D624" s="452"/>
      <c r="E624" s="454"/>
      <c r="F624" s="454"/>
      <c r="G624" s="454"/>
      <c r="H624" s="452"/>
      <c r="I624" s="454"/>
      <c r="J624" s="454"/>
      <c r="K624" s="454"/>
      <c r="L624" s="454"/>
    </row>
    <row r="625" spans="1:12" x14ac:dyDescent="0.3">
      <c r="A625" s="442">
        <f t="shared" si="9"/>
        <v>0</v>
      </c>
      <c r="B625" s="453"/>
      <c r="C625" s="454"/>
      <c r="D625" s="452"/>
      <c r="E625" s="454"/>
      <c r="F625" s="454"/>
      <c r="G625" s="454"/>
      <c r="H625" s="452"/>
      <c r="I625" s="454"/>
      <c r="J625" s="454"/>
      <c r="K625" s="454"/>
      <c r="L625" s="454"/>
    </row>
    <row r="626" spans="1:12" x14ac:dyDescent="0.3">
      <c r="A626" s="442">
        <f t="shared" si="9"/>
        <v>0</v>
      </c>
      <c r="B626" s="453"/>
      <c r="C626" s="454"/>
      <c r="D626" s="452"/>
      <c r="E626" s="454"/>
      <c r="F626" s="454"/>
      <c r="G626" s="454"/>
      <c r="H626" s="452"/>
      <c r="I626" s="454"/>
      <c r="J626" s="454"/>
      <c r="K626" s="454"/>
      <c r="L626" s="454"/>
    </row>
    <row r="627" spans="1:12" x14ac:dyDescent="0.3">
      <c r="A627" s="442">
        <f t="shared" si="9"/>
        <v>0</v>
      </c>
      <c r="B627" s="453"/>
      <c r="C627" s="454"/>
      <c r="D627" s="452"/>
      <c r="E627" s="454"/>
      <c r="F627" s="454"/>
      <c r="G627" s="454"/>
      <c r="H627" s="452"/>
      <c r="I627" s="454"/>
      <c r="J627" s="454"/>
      <c r="K627" s="454"/>
      <c r="L627" s="454"/>
    </row>
    <row r="628" spans="1:12" x14ac:dyDescent="0.3">
      <c r="A628" s="442">
        <f t="shared" si="9"/>
        <v>0</v>
      </c>
      <c r="B628" s="453"/>
      <c r="C628" s="454"/>
      <c r="D628" s="452"/>
      <c r="E628" s="454"/>
      <c r="F628" s="454"/>
      <c r="G628" s="454"/>
      <c r="H628" s="452"/>
      <c r="I628" s="454"/>
      <c r="J628" s="454"/>
      <c r="K628" s="454"/>
      <c r="L628" s="454"/>
    </row>
    <row r="629" spans="1:12" x14ac:dyDescent="0.3">
      <c r="A629" s="442">
        <f t="shared" ref="A629:A692" si="10">IF(D629="",0,SUBSTITUTE(LOWER(D629),"km","")+0)</f>
        <v>0</v>
      </c>
      <c r="B629" s="453"/>
      <c r="C629" s="454"/>
      <c r="D629" s="452"/>
      <c r="E629" s="454"/>
      <c r="F629" s="454"/>
      <c r="G629" s="454"/>
      <c r="H629" s="452"/>
      <c r="I629" s="454"/>
      <c r="J629" s="454"/>
      <c r="K629" s="454"/>
      <c r="L629" s="454"/>
    </row>
    <row r="630" spans="1:12" x14ac:dyDescent="0.3">
      <c r="A630" s="442">
        <f t="shared" si="10"/>
        <v>0</v>
      </c>
      <c r="B630" s="453"/>
      <c r="C630" s="454"/>
      <c r="D630" s="452"/>
      <c r="E630" s="454"/>
      <c r="F630" s="454"/>
      <c r="G630" s="454"/>
      <c r="H630" s="452"/>
      <c r="I630" s="454"/>
      <c r="J630" s="454"/>
      <c r="K630" s="454"/>
      <c r="L630" s="454"/>
    </row>
    <row r="631" spans="1:12" x14ac:dyDescent="0.3">
      <c r="A631" s="442">
        <f t="shared" si="10"/>
        <v>0</v>
      </c>
      <c r="B631" s="453"/>
      <c r="C631" s="454"/>
      <c r="D631" s="452"/>
      <c r="E631" s="454"/>
      <c r="F631" s="454"/>
      <c r="G631" s="454"/>
      <c r="H631" s="452"/>
      <c r="I631" s="454"/>
      <c r="J631" s="454"/>
      <c r="K631" s="454"/>
      <c r="L631" s="454"/>
    </row>
    <row r="632" spans="1:12" x14ac:dyDescent="0.3">
      <c r="A632" s="442">
        <f t="shared" si="10"/>
        <v>0</v>
      </c>
      <c r="B632" s="453"/>
      <c r="C632" s="454"/>
      <c r="D632" s="452"/>
      <c r="E632" s="454"/>
      <c r="F632" s="454"/>
      <c r="G632" s="454"/>
      <c r="H632" s="452"/>
      <c r="I632" s="454"/>
      <c r="J632" s="454"/>
      <c r="K632" s="454"/>
      <c r="L632" s="454"/>
    </row>
    <row r="633" spans="1:12" x14ac:dyDescent="0.3">
      <c r="A633" s="442">
        <f t="shared" si="10"/>
        <v>0</v>
      </c>
      <c r="B633" s="453"/>
      <c r="C633" s="454"/>
      <c r="D633" s="452"/>
      <c r="E633" s="454"/>
      <c r="F633" s="454"/>
      <c r="G633" s="454"/>
      <c r="H633" s="452"/>
      <c r="I633" s="454"/>
      <c r="J633" s="454"/>
      <c r="K633" s="454"/>
      <c r="L633" s="454"/>
    </row>
    <row r="634" spans="1:12" x14ac:dyDescent="0.3">
      <c r="A634" s="442">
        <f t="shared" si="10"/>
        <v>0</v>
      </c>
      <c r="B634" s="453"/>
      <c r="C634" s="454"/>
      <c r="D634" s="452"/>
      <c r="E634" s="454"/>
      <c r="F634" s="454"/>
      <c r="G634" s="454"/>
      <c r="H634" s="452"/>
      <c r="I634" s="454"/>
      <c r="J634" s="454"/>
      <c r="K634" s="454"/>
      <c r="L634" s="454"/>
    </row>
    <row r="635" spans="1:12" x14ac:dyDescent="0.3">
      <c r="A635" s="442">
        <f t="shared" si="10"/>
        <v>0</v>
      </c>
      <c r="B635" s="453"/>
      <c r="C635" s="454"/>
      <c r="D635" s="452"/>
      <c r="E635" s="454"/>
      <c r="F635" s="454"/>
      <c r="G635" s="454"/>
      <c r="H635" s="452"/>
      <c r="I635" s="454"/>
      <c r="J635" s="454"/>
      <c r="K635" s="454"/>
      <c r="L635" s="454"/>
    </row>
    <row r="636" spans="1:12" x14ac:dyDescent="0.3">
      <c r="A636" s="442">
        <f t="shared" si="10"/>
        <v>0</v>
      </c>
      <c r="B636" s="453"/>
      <c r="C636" s="454"/>
      <c r="D636" s="452"/>
      <c r="E636" s="454"/>
      <c r="F636" s="454"/>
      <c r="G636" s="454"/>
      <c r="H636" s="452"/>
      <c r="I636" s="454"/>
      <c r="J636" s="454"/>
      <c r="K636" s="454"/>
      <c r="L636" s="454"/>
    </row>
    <row r="637" spans="1:12" x14ac:dyDescent="0.3">
      <c r="A637" s="442">
        <f t="shared" si="10"/>
        <v>0</v>
      </c>
      <c r="B637" s="453"/>
      <c r="C637" s="454"/>
      <c r="D637" s="452"/>
      <c r="E637" s="454"/>
      <c r="F637" s="454"/>
      <c r="G637" s="454"/>
      <c r="H637" s="452"/>
      <c r="I637" s="454"/>
      <c r="J637" s="454"/>
      <c r="K637" s="454"/>
      <c r="L637" s="454"/>
    </row>
    <row r="638" spans="1:12" x14ac:dyDescent="0.3">
      <c r="A638" s="442">
        <f t="shared" si="10"/>
        <v>0</v>
      </c>
      <c r="B638" s="453"/>
      <c r="C638" s="454"/>
      <c r="D638" s="452"/>
      <c r="E638" s="454"/>
      <c r="F638" s="454"/>
      <c r="G638" s="454"/>
      <c r="H638" s="452"/>
      <c r="I638" s="454"/>
      <c r="J638" s="454"/>
      <c r="K638" s="454"/>
      <c r="L638" s="454"/>
    </row>
    <row r="639" spans="1:12" x14ac:dyDescent="0.3">
      <c r="A639" s="442">
        <f t="shared" si="10"/>
        <v>0</v>
      </c>
      <c r="B639" s="453"/>
      <c r="C639" s="454"/>
      <c r="D639" s="452"/>
      <c r="E639" s="454"/>
      <c r="F639" s="454"/>
      <c r="G639" s="454"/>
      <c r="H639" s="452"/>
      <c r="I639" s="454"/>
      <c r="J639" s="454"/>
      <c r="K639" s="454"/>
      <c r="L639" s="454"/>
    </row>
    <row r="640" spans="1:12" x14ac:dyDescent="0.3">
      <c r="A640" s="442">
        <f t="shared" si="10"/>
        <v>0</v>
      </c>
      <c r="B640" s="453"/>
      <c r="C640" s="454"/>
      <c r="D640" s="452"/>
      <c r="E640" s="454"/>
      <c r="F640" s="454"/>
      <c r="G640" s="454"/>
      <c r="H640" s="452"/>
      <c r="I640" s="454"/>
      <c r="J640" s="454"/>
      <c r="K640" s="454"/>
      <c r="L640" s="454"/>
    </row>
    <row r="641" spans="1:12" x14ac:dyDescent="0.3">
      <c r="A641" s="442">
        <f t="shared" si="10"/>
        <v>0</v>
      </c>
      <c r="B641" s="453"/>
      <c r="C641" s="454"/>
      <c r="D641" s="452"/>
      <c r="E641" s="454"/>
      <c r="F641" s="454"/>
      <c r="G641" s="454"/>
      <c r="H641" s="452"/>
      <c r="I641" s="454"/>
      <c r="J641" s="454"/>
      <c r="K641" s="454"/>
      <c r="L641" s="454"/>
    </row>
    <row r="642" spans="1:12" x14ac:dyDescent="0.3">
      <c r="A642" s="442">
        <f t="shared" si="10"/>
        <v>0</v>
      </c>
      <c r="B642" s="453"/>
      <c r="C642" s="454"/>
      <c r="D642" s="452"/>
      <c r="E642" s="454"/>
      <c r="F642" s="454"/>
      <c r="G642" s="454"/>
      <c r="H642" s="452"/>
      <c r="I642" s="454"/>
      <c r="J642" s="454"/>
      <c r="K642" s="454"/>
      <c r="L642" s="454"/>
    </row>
    <row r="643" spans="1:12" x14ac:dyDescent="0.3">
      <c r="A643" s="442">
        <f t="shared" si="10"/>
        <v>0</v>
      </c>
      <c r="B643" s="453"/>
      <c r="C643" s="454"/>
      <c r="D643" s="452"/>
      <c r="E643" s="454"/>
      <c r="F643" s="454"/>
      <c r="G643" s="454"/>
      <c r="H643" s="452"/>
      <c r="I643" s="454"/>
      <c r="J643" s="454"/>
      <c r="K643" s="454"/>
      <c r="L643" s="454"/>
    </row>
    <row r="644" spans="1:12" x14ac:dyDescent="0.3">
      <c r="A644" s="442">
        <f t="shared" si="10"/>
        <v>0</v>
      </c>
      <c r="B644" s="453"/>
      <c r="C644" s="454"/>
      <c r="D644" s="452"/>
      <c r="E644" s="454"/>
      <c r="F644" s="454"/>
      <c r="G644" s="454"/>
      <c r="H644" s="452"/>
      <c r="I644" s="454"/>
      <c r="J644" s="454"/>
      <c r="K644" s="454"/>
      <c r="L644" s="454"/>
    </row>
    <row r="645" spans="1:12" x14ac:dyDescent="0.3">
      <c r="A645" s="442">
        <f t="shared" si="10"/>
        <v>0</v>
      </c>
      <c r="B645" s="453"/>
      <c r="C645" s="454"/>
      <c r="D645" s="452"/>
      <c r="E645" s="454"/>
      <c r="F645" s="454"/>
      <c r="G645" s="454"/>
      <c r="H645" s="452"/>
      <c r="I645" s="454"/>
      <c r="J645" s="454"/>
      <c r="K645" s="454"/>
      <c r="L645" s="454"/>
    </row>
    <row r="646" spans="1:12" x14ac:dyDescent="0.3">
      <c r="A646" s="442">
        <f t="shared" si="10"/>
        <v>0</v>
      </c>
      <c r="B646" s="453"/>
      <c r="C646" s="454"/>
      <c r="D646" s="452"/>
      <c r="E646" s="454"/>
      <c r="F646" s="454"/>
      <c r="G646" s="454"/>
      <c r="H646" s="452"/>
      <c r="I646" s="454"/>
      <c r="J646" s="454"/>
      <c r="K646" s="454"/>
      <c r="L646" s="454"/>
    </row>
    <row r="647" spans="1:12" x14ac:dyDescent="0.3">
      <c r="A647" s="442">
        <f t="shared" si="10"/>
        <v>0</v>
      </c>
      <c r="B647" s="453"/>
      <c r="C647" s="454"/>
      <c r="D647" s="452"/>
      <c r="E647" s="454"/>
      <c r="F647" s="454"/>
      <c r="G647" s="454"/>
      <c r="H647" s="452"/>
      <c r="I647" s="454"/>
      <c r="J647" s="454"/>
      <c r="K647" s="454"/>
      <c r="L647" s="454"/>
    </row>
    <row r="648" spans="1:12" x14ac:dyDescent="0.3">
      <c r="A648" s="442">
        <f t="shared" si="10"/>
        <v>0</v>
      </c>
      <c r="B648" s="453"/>
      <c r="C648" s="454"/>
      <c r="D648" s="452"/>
      <c r="E648" s="454"/>
      <c r="F648" s="454"/>
      <c r="G648" s="454"/>
      <c r="H648" s="452"/>
      <c r="I648" s="454"/>
      <c r="J648" s="454"/>
      <c r="K648" s="454"/>
      <c r="L648" s="454"/>
    </row>
    <row r="649" spans="1:12" x14ac:dyDescent="0.3">
      <c r="A649" s="442">
        <f t="shared" si="10"/>
        <v>0</v>
      </c>
      <c r="B649" s="453"/>
      <c r="C649" s="454"/>
      <c r="D649" s="452"/>
      <c r="E649" s="454"/>
      <c r="F649" s="454"/>
      <c r="G649" s="454"/>
      <c r="H649" s="452"/>
      <c r="I649" s="454"/>
      <c r="J649" s="454"/>
      <c r="K649" s="454"/>
      <c r="L649" s="454"/>
    </row>
    <row r="650" spans="1:12" x14ac:dyDescent="0.3">
      <c r="A650" s="442">
        <f t="shared" si="10"/>
        <v>0</v>
      </c>
      <c r="B650" s="453"/>
      <c r="C650" s="454"/>
      <c r="D650" s="452"/>
      <c r="E650" s="454"/>
      <c r="F650" s="454"/>
      <c r="G650" s="454"/>
      <c r="H650" s="452"/>
      <c r="I650" s="454"/>
      <c r="J650" s="454"/>
      <c r="K650" s="454"/>
      <c r="L650" s="454"/>
    </row>
    <row r="651" spans="1:12" x14ac:dyDescent="0.3">
      <c r="A651" s="442">
        <f t="shared" si="10"/>
        <v>0</v>
      </c>
      <c r="B651" s="453"/>
      <c r="C651" s="454"/>
      <c r="D651" s="452"/>
      <c r="E651" s="454"/>
      <c r="F651" s="454"/>
      <c r="G651" s="454"/>
      <c r="H651" s="452"/>
      <c r="I651" s="454"/>
      <c r="J651" s="454"/>
      <c r="K651" s="454"/>
      <c r="L651" s="454"/>
    </row>
    <row r="652" spans="1:12" x14ac:dyDescent="0.3">
      <c r="A652" s="442">
        <f t="shared" si="10"/>
        <v>0</v>
      </c>
      <c r="B652" s="453"/>
      <c r="C652" s="454"/>
      <c r="D652" s="452"/>
      <c r="E652" s="454"/>
      <c r="F652" s="454"/>
      <c r="G652" s="454"/>
      <c r="H652" s="452"/>
      <c r="I652" s="454"/>
      <c r="J652" s="454"/>
      <c r="K652" s="454"/>
      <c r="L652" s="454"/>
    </row>
    <row r="653" spans="1:12" x14ac:dyDescent="0.3">
      <c r="A653" s="442">
        <f t="shared" si="10"/>
        <v>0</v>
      </c>
      <c r="B653" s="453"/>
      <c r="C653" s="454"/>
      <c r="D653" s="452"/>
      <c r="E653" s="454"/>
      <c r="F653" s="454"/>
      <c r="G653" s="454"/>
      <c r="H653" s="452"/>
      <c r="I653" s="454"/>
      <c r="J653" s="454"/>
      <c r="K653" s="454"/>
      <c r="L653" s="454"/>
    </row>
    <row r="654" spans="1:12" x14ac:dyDescent="0.3">
      <c r="A654" s="442">
        <f t="shared" si="10"/>
        <v>0</v>
      </c>
      <c r="B654" s="453"/>
      <c r="C654" s="454"/>
      <c r="D654" s="452"/>
      <c r="E654" s="454"/>
      <c r="F654" s="454"/>
      <c r="G654" s="454"/>
      <c r="H654" s="452"/>
      <c r="I654" s="454"/>
      <c r="J654" s="454"/>
      <c r="K654" s="454"/>
      <c r="L654" s="454"/>
    </row>
    <row r="655" spans="1:12" x14ac:dyDescent="0.3">
      <c r="A655" s="442">
        <f t="shared" si="10"/>
        <v>0</v>
      </c>
      <c r="B655" s="453"/>
      <c r="C655" s="454"/>
      <c r="D655" s="452"/>
      <c r="E655" s="454"/>
      <c r="F655" s="454"/>
      <c r="G655" s="454"/>
      <c r="H655" s="452"/>
      <c r="I655" s="454"/>
      <c r="J655" s="454"/>
      <c r="K655" s="454"/>
      <c r="L655" s="454"/>
    </row>
    <row r="656" spans="1:12" x14ac:dyDescent="0.3">
      <c r="A656" s="442">
        <f t="shared" si="10"/>
        <v>0</v>
      </c>
      <c r="B656" s="453"/>
      <c r="C656" s="454"/>
      <c r="D656" s="452"/>
      <c r="E656" s="454"/>
      <c r="F656" s="454"/>
      <c r="G656" s="454"/>
      <c r="H656" s="452"/>
      <c r="I656" s="454"/>
      <c r="J656" s="454"/>
      <c r="K656" s="454"/>
      <c r="L656" s="454"/>
    </row>
    <row r="657" spans="1:12" x14ac:dyDescent="0.3">
      <c r="A657" s="442">
        <f t="shared" si="10"/>
        <v>0</v>
      </c>
      <c r="B657" s="453"/>
      <c r="C657" s="454"/>
      <c r="D657" s="452"/>
      <c r="E657" s="454"/>
      <c r="F657" s="454"/>
      <c r="G657" s="454"/>
      <c r="H657" s="452"/>
      <c r="I657" s="454"/>
      <c r="J657" s="454"/>
      <c r="K657" s="454"/>
      <c r="L657" s="454"/>
    </row>
    <row r="658" spans="1:12" x14ac:dyDescent="0.3">
      <c r="A658" s="442">
        <f t="shared" si="10"/>
        <v>0</v>
      </c>
      <c r="B658" s="453"/>
      <c r="C658" s="454"/>
      <c r="D658" s="452"/>
      <c r="E658" s="454"/>
      <c r="F658" s="454"/>
      <c r="G658" s="454"/>
      <c r="H658" s="452"/>
      <c r="I658" s="454"/>
      <c r="J658" s="454"/>
      <c r="K658" s="454"/>
      <c r="L658" s="454"/>
    </row>
    <row r="659" spans="1:12" x14ac:dyDescent="0.3">
      <c r="A659" s="442">
        <f t="shared" si="10"/>
        <v>0</v>
      </c>
      <c r="B659" s="453"/>
      <c r="C659" s="454"/>
      <c r="D659" s="452"/>
      <c r="E659" s="454"/>
      <c r="F659" s="454"/>
      <c r="G659" s="454"/>
      <c r="H659" s="452"/>
      <c r="I659" s="454"/>
      <c r="J659" s="454"/>
      <c r="K659" s="454"/>
      <c r="L659" s="454"/>
    </row>
    <row r="660" spans="1:12" x14ac:dyDescent="0.3">
      <c r="A660" s="442">
        <f t="shared" si="10"/>
        <v>0</v>
      </c>
      <c r="B660" s="453"/>
      <c r="C660" s="454"/>
      <c r="D660" s="452"/>
      <c r="E660" s="454"/>
      <c r="F660" s="454"/>
      <c r="G660" s="454"/>
      <c r="H660" s="452"/>
      <c r="I660" s="454"/>
      <c r="J660" s="454"/>
      <c r="K660" s="454"/>
      <c r="L660" s="454"/>
    </row>
    <row r="661" spans="1:12" x14ac:dyDescent="0.3">
      <c r="A661" s="442">
        <f t="shared" si="10"/>
        <v>0</v>
      </c>
      <c r="B661" s="453"/>
      <c r="C661" s="454"/>
      <c r="D661" s="452"/>
      <c r="E661" s="454"/>
      <c r="F661" s="454"/>
      <c r="G661" s="454"/>
      <c r="H661" s="452"/>
      <c r="I661" s="454"/>
      <c r="J661" s="454"/>
      <c r="K661" s="454"/>
      <c r="L661" s="454"/>
    </row>
    <row r="662" spans="1:12" x14ac:dyDescent="0.3">
      <c r="A662" s="442">
        <f t="shared" si="10"/>
        <v>0</v>
      </c>
      <c r="B662" s="453"/>
      <c r="C662" s="454"/>
      <c r="D662" s="452"/>
      <c r="E662" s="454"/>
      <c r="F662" s="454"/>
      <c r="G662" s="454"/>
      <c r="H662" s="452"/>
      <c r="I662" s="454"/>
      <c r="J662" s="454"/>
      <c r="K662" s="454"/>
      <c r="L662" s="454"/>
    </row>
    <row r="663" spans="1:12" x14ac:dyDescent="0.3">
      <c r="A663" s="442">
        <f t="shared" si="10"/>
        <v>0</v>
      </c>
      <c r="B663" s="453"/>
      <c r="C663" s="454"/>
      <c r="D663" s="452"/>
      <c r="E663" s="454"/>
      <c r="F663" s="454"/>
      <c r="G663" s="454"/>
      <c r="H663" s="452"/>
      <c r="I663" s="454"/>
      <c r="J663" s="454"/>
      <c r="K663" s="454"/>
      <c r="L663" s="454"/>
    </row>
    <row r="664" spans="1:12" x14ac:dyDescent="0.3">
      <c r="A664" s="442">
        <f t="shared" si="10"/>
        <v>0</v>
      </c>
      <c r="B664" s="453"/>
      <c r="C664" s="454"/>
      <c r="D664" s="452"/>
      <c r="E664" s="454"/>
      <c r="F664" s="454"/>
      <c r="G664" s="454"/>
      <c r="H664" s="452"/>
      <c r="I664" s="454"/>
      <c r="J664" s="454"/>
      <c r="K664" s="454"/>
      <c r="L664" s="454"/>
    </row>
    <row r="665" spans="1:12" x14ac:dyDescent="0.3">
      <c r="A665" s="442">
        <f t="shared" si="10"/>
        <v>0</v>
      </c>
      <c r="B665" s="453"/>
      <c r="C665" s="454"/>
      <c r="D665" s="452"/>
      <c r="E665" s="454"/>
      <c r="F665" s="454"/>
      <c r="G665" s="454"/>
      <c r="H665" s="452"/>
      <c r="I665" s="454"/>
      <c r="J665" s="454"/>
      <c r="K665" s="454"/>
      <c r="L665" s="454"/>
    </row>
    <row r="666" spans="1:12" x14ac:dyDescent="0.3">
      <c r="A666" s="442">
        <f t="shared" si="10"/>
        <v>0</v>
      </c>
      <c r="B666" s="453"/>
      <c r="C666" s="454"/>
      <c r="D666" s="452"/>
      <c r="E666" s="454"/>
      <c r="F666" s="454"/>
      <c r="G666" s="454"/>
      <c r="H666" s="452"/>
      <c r="I666" s="454"/>
      <c r="J666" s="454"/>
      <c r="K666" s="454"/>
      <c r="L666" s="454"/>
    </row>
    <row r="667" spans="1:12" x14ac:dyDescent="0.3">
      <c r="A667" s="442">
        <f t="shared" si="10"/>
        <v>0</v>
      </c>
      <c r="B667" s="453"/>
      <c r="C667" s="454"/>
      <c r="D667" s="452"/>
      <c r="E667" s="454"/>
      <c r="F667" s="454"/>
      <c r="G667" s="454"/>
      <c r="H667" s="452"/>
      <c r="I667" s="454"/>
      <c r="J667" s="454"/>
      <c r="K667" s="454"/>
      <c r="L667" s="454"/>
    </row>
    <row r="668" spans="1:12" x14ac:dyDescent="0.3">
      <c r="A668" s="442">
        <f t="shared" si="10"/>
        <v>0</v>
      </c>
      <c r="B668" s="453"/>
      <c r="C668" s="454"/>
      <c r="D668" s="452"/>
      <c r="E668" s="454"/>
      <c r="F668" s="454"/>
      <c r="G668" s="454"/>
      <c r="H668" s="452"/>
      <c r="I668" s="454"/>
      <c r="J668" s="454"/>
      <c r="K668" s="454"/>
      <c r="L668" s="454"/>
    </row>
    <row r="669" spans="1:12" x14ac:dyDescent="0.3">
      <c r="A669" s="442">
        <f t="shared" si="10"/>
        <v>0</v>
      </c>
      <c r="B669" s="453"/>
      <c r="C669" s="454"/>
      <c r="D669" s="452"/>
      <c r="E669" s="454"/>
      <c r="F669" s="454"/>
      <c r="G669" s="454"/>
      <c r="H669" s="452"/>
      <c r="I669" s="454"/>
      <c r="J669" s="454"/>
      <c r="K669" s="454"/>
      <c r="L669" s="454"/>
    </row>
    <row r="670" spans="1:12" x14ac:dyDescent="0.3">
      <c r="A670" s="442">
        <f t="shared" si="10"/>
        <v>0</v>
      </c>
      <c r="B670" s="453"/>
      <c r="C670" s="454"/>
      <c r="D670" s="452"/>
      <c r="E670" s="454"/>
      <c r="F670" s="454"/>
      <c r="G670" s="454"/>
      <c r="H670" s="452"/>
      <c r="I670" s="454"/>
      <c r="J670" s="454"/>
      <c r="K670" s="454"/>
      <c r="L670" s="454"/>
    </row>
    <row r="671" spans="1:12" x14ac:dyDescent="0.3">
      <c r="A671" s="442">
        <f t="shared" si="10"/>
        <v>0</v>
      </c>
      <c r="B671" s="453"/>
      <c r="C671" s="454"/>
      <c r="D671" s="452"/>
      <c r="E671" s="454"/>
      <c r="F671" s="454"/>
      <c r="G671" s="454"/>
      <c r="H671" s="452"/>
      <c r="I671" s="454"/>
      <c r="J671" s="454"/>
      <c r="K671" s="454"/>
      <c r="L671" s="454"/>
    </row>
    <row r="672" spans="1:12" x14ac:dyDescent="0.3">
      <c r="A672" s="442">
        <f t="shared" si="10"/>
        <v>0</v>
      </c>
      <c r="B672" s="453"/>
      <c r="C672" s="454"/>
      <c r="D672" s="452"/>
      <c r="E672" s="454"/>
      <c r="F672" s="454"/>
      <c r="G672" s="454"/>
      <c r="H672" s="452"/>
      <c r="I672" s="454"/>
      <c r="J672" s="454"/>
      <c r="K672" s="454"/>
      <c r="L672" s="454"/>
    </row>
    <row r="673" spans="1:12" x14ac:dyDescent="0.3">
      <c r="A673" s="442">
        <f t="shared" si="10"/>
        <v>0</v>
      </c>
      <c r="B673" s="453"/>
      <c r="C673" s="454"/>
      <c r="D673" s="452"/>
      <c r="E673" s="454"/>
      <c r="F673" s="454"/>
      <c r="G673" s="454"/>
      <c r="H673" s="452"/>
      <c r="I673" s="454"/>
      <c r="J673" s="454"/>
      <c r="K673" s="454"/>
      <c r="L673" s="454"/>
    </row>
    <row r="674" spans="1:12" x14ac:dyDescent="0.3">
      <c r="A674" s="442">
        <f t="shared" si="10"/>
        <v>0</v>
      </c>
      <c r="B674" s="453"/>
      <c r="C674" s="454"/>
      <c r="D674" s="452"/>
      <c r="E674" s="454"/>
      <c r="F674" s="454"/>
      <c r="G674" s="454"/>
      <c r="H674" s="452"/>
      <c r="I674" s="454"/>
      <c r="J674" s="454"/>
      <c r="K674" s="454"/>
      <c r="L674" s="454"/>
    </row>
    <row r="675" spans="1:12" x14ac:dyDescent="0.3">
      <c r="A675" s="442">
        <f t="shared" si="10"/>
        <v>0</v>
      </c>
      <c r="B675" s="453"/>
      <c r="C675" s="454"/>
      <c r="D675" s="452"/>
      <c r="E675" s="454"/>
      <c r="F675" s="454"/>
      <c r="G675" s="454"/>
      <c r="H675" s="452"/>
      <c r="I675" s="454"/>
      <c r="J675" s="454"/>
      <c r="K675" s="454"/>
      <c r="L675" s="454"/>
    </row>
    <row r="676" spans="1:12" x14ac:dyDescent="0.3">
      <c r="A676" s="442">
        <f t="shared" si="10"/>
        <v>0</v>
      </c>
      <c r="B676" s="453"/>
      <c r="C676" s="454"/>
      <c r="D676" s="452"/>
      <c r="E676" s="454"/>
      <c r="F676" s="454"/>
      <c r="G676" s="454"/>
      <c r="H676" s="452"/>
      <c r="I676" s="454"/>
      <c r="J676" s="454"/>
      <c r="K676" s="454"/>
      <c r="L676" s="454"/>
    </row>
    <row r="677" spans="1:12" x14ac:dyDescent="0.3">
      <c r="A677" s="442">
        <f t="shared" si="10"/>
        <v>0</v>
      </c>
      <c r="B677" s="453"/>
      <c r="C677" s="454"/>
      <c r="D677" s="452"/>
      <c r="E677" s="454"/>
      <c r="F677" s="454"/>
      <c r="G677" s="454"/>
      <c r="H677" s="452"/>
      <c r="I677" s="454"/>
      <c r="J677" s="454"/>
      <c r="K677" s="454"/>
      <c r="L677" s="454"/>
    </row>
    <row r="678" spans="1:12" x14ac:dyDescent="0.3">
      <c r="A678" s="442">
        <f t="shared" si="10"/>
        <v>0</v>
      </c>
      <c r="B678" s="453"/>
      <c r="C678" s="454"/>
      <c r="D678" s="452"/>
      <c r="E678" s="454"/>
      <c r="F678" s="454"/>
      <c r="G678" s="454"/>
      <c r="H678" s="452"/>
      <c r="I678" s="454"/>
      <c r="J678" s="454"/>
      <c r="K678" s="454"/>
      <c r="L678" s="454"/>
    </row>
    <row r="679" spans="1:12" x14ac:dyDescent="0.3">
      <c r="A679" s="442">
        <f t="shared" si="10"/>
        <v>0</v>
      </c>
      <c r="B679" s="453"/>
      <c r="C679" s="454"/>
      <c r="D679" s="452"/>
      <c r="E679" s="454"/>
      <c r="F679" s="454"/>
      <c r="G679" s="454"/>
      <c r="H679" s="452"/>
      <c r="I679" s="454"/>
      <c r="J679" s="454"/>
      <c r="K679" s="454"/>
      <c r="L679" s="454"/>
    </row>
    <row r="680" spans="1:12" x14ac:dyDescent="0.3">
      <c r="A680" s="442">
        <f t="shared" si="10"/>
        <v>0</v>
      </c>
      <c r="B680" s="453"/>
      <c r="C680" s="454"/>
      <c r="D680" s="452"/>
      <c r="E680" s="454"/>
      <c r="F680" s="454"/>
      <c r="G680" s="454"/>
      <c r="H680" s="452"/>
      <c r="I680" s="454"/>
      <c r="J680" s="454"/>
      <c r="K680" s="454"/>
      <c r="L680" s="454"/>
    </row>
    <row r="681" spans="1:12" x14ac:dyDescent="0.3">
      <c r="A681" s="442">
        <f t="shared" si="10"/>
        <v>0</v>
      </c>
      <c r="B681" s="453"/>
      <c r="C681" s="454"/>
      <c r="D681" s="452"/>
      <c r="E681" s="454"/>
      <c r="F681" s="454"/>
      <c r="G681" s="454"/>
      <c r="H681" s="452"/>
      <c r="I681" s="454"/>
      <c r="J681" s="454"/>
      <c r="K681" s="454"/>
      <c r="L681" s="454"/>
    </row>
    <row r="682" spans="1:12" x14ac:dyDescent="0.3">
      <c r="A682" s="442">
        <f t="shared" si="10"/>
        <v>0</v>
      </c>
      <c r="B682" s="453"/>
      <c r="C682" s="454"/>
      <c r="D682" s="452"/>
      <c r="E682" s="454"/>
      <c r="F682" s="454"/>
      <c r="G682" s="454"/>
      <c r="H682" s="452"/>
      <c r="I682" s="454"/>
      <c r="J682" s="454"/>
      <c r="K682" s="454"/>
      <c r="L682" s="454"/>
    </row>
    <row r="683" spans="1:12" x14ac:dyDescent="0.3">
      <c r="A683" s="442">
        <f t="shared" si="10"/>
        <v>0</v>
      </c>
      <c r="B683" s="453"/>
      <c r="C683" s="454"/>
      <c r="D683" s="452"/>
      <c r="E683" s="454"/>
      <c r="F683" s="454"/>
      <c r="G683" s="454"/>
      <c r="H683" s="452"/>
      <c r="I683" s="454"/>
      <c r="J683" s="454"/>
      <c r="K683" s="454"/>
      <c r="L683" s="454"/>
    </row>
    <row r="684" spans="1:12" x14ac:dyDescent="0.3">
      <c r="A684" s="442">
        <f t="shared" si="10"/>
        <v>0</v>
      </c>
      <c r="B684" s="453"/>
      <c r="C684" s="454"/>
      <c r="D684" s="452"/>
      <c r="E684" s="454"/>
      <c r="F684" s="454"/>
      <c r="G684" s="454"/>
      <c r="H684" s="452"/>
      <c r="I684" s="454"/>
      <c r="J684" s="454"/>
      <c r="K684" s="454"/>
      <c r="L684" s="454"/>
    </row>
    <row r="685" spans="1:12" x14ac:dyDescent="0.3">
      <c r="A685" s="442">
        <f t="shared" si="10"/>
        <v>0</v>
      </c>
      <c r="B685" s="453"/>
      <c r="C685" s="454"/>
      <c r="D685" s="452"/>
      <c r="E685" s="454"/>
      <c r="F685" s="454"/>
      <c r="G685" s="454"/>
      <c r="H685" s="452"/>
      <c r="I685" s="454"/>
      <c r="J685" s="454"/>
      <c r="K685" s="454"/>
      <c r="L685" s="454"/>
    </row>
    <row r="686" spans="1:12" x14ac:dyDescent="0.3">
      <c r="A686" s="442">
        <f t="shared" si="10"/>
        <v>0</v>
      </c>
      <c r="B686" s="453"/>
      <c r="C686" s="454"/>
      <c r="D686" s="452"/>
      <c r="E686" s="454"/>
      <c r="F686" s="454"/>
      <c r="G686" s="454"/>
      <c r="H686" s="452"/>
      <c r="I686" s="454"/>
      <c r="J686" s="454"/>
      <c r="K686" s="454"/>
      <c r="L686" s="454"/>
    </row>
    <row r="687" spans="1:12" x14ac:dyDescent="0.3">
      <c r="A687" s="442">
        <f t="shared" si="10"/>
        <v>0</v>
      </c>
      <c r="B687" s="453"/>
      <c r="C687" s="454"/>
      <c r="D687" s="452"/>
      <c r="E687" s="454"/>
      <c r="F687" s="454"/>
      <c r="G687" s="454"/>
      <c r="H687" s="452"/>
      <c r="I687" s="454"/>
      <c r="J687" s="454"/>
      <c r="K687" s="454"/>
      <c r="L687" s="454"/>
    </row>
    <row r="688" spans="1:12" x14ac:dyDescent="0.3">
      <c r="A688" s="442">
        <f t="shared" si="10"/>
        <v>0</v>
      </c>
      <c r="B688" s="453"/>
      <c r="C688" s="454"/>
      <c r="D688" s="452"/>
      <c r="E688" s="454"/>
      <c r="F688" s="454"/>
      <c r="G688" s="454"/>
      <c r="H688" s="452"/>
      <c r="I688" s="454"/>
      <c r="J688" s="454"/>
      <c r="K688" s="454"/>
      <c r="L688" s="454"/>
    </row>
    <row r="689" spans="1:12" x14ac:dyDescent="0.3">
      <c r="A689" s="442">
        <f t="shared" si="10"/>
        <v>0</v>
      </c>
      <c r="B689" s="453"/>
      <c r="C689" s="454"/>
      <c r="D689" s="452"/>
      <c r="E689" s="454"/>
      <c r="F689" s="454"/>
      <c r="G689" s="454"/>
      <c r="H689" s="452"/>
      <c r="I689" s="454"/>
      <c r="J689" s="454"/>
      <c r="K689" s="454"/>
      <c r="L689" s="454"/>
    </row>
    <row r="690" spans="1:12" x14ac:dyDescent="0.3">
      <c r="A690" s="442">
        <f t="shared" si="10"/>
        <v>0</v>
      </c>
      <c r="B690" s="453"/>
      <c r="C690" s="454"/>
      <c r="D690" s="452"/>
      <c r="E690" s="454"/>
      <c r="F690" s="454"/>
      <c r="G690" s="454"/>
      <c r="H690" s="452"/>
      <c r="I690" s="454"/>
      <c r="J690" s="454"/>
      <c r="K690" s="454"/>
      <c r="L690" s="454"/>
    </row>
    <row r="691" spans="1:12" x14ac:dyDescent="0.3">
      <c r="A691" s="442">
        <f t="shared" si="10"/>
        <v>0</v>
      </c>
      <c r="B691" s="453"/>
      <c r="C691" s="454"/>
      <c r="D691" s="452"/>
      <c r="E691" s="454"/>
      <c r="F691" s="454"/>
      <c r="G691" s="454"/>
      <c r="H691" s="452"/>
      <c r="I691" s="454"/>
      <c r="J691" s="454"/>
      <c r="K691" s="454"/>
      <c r="L691" s="454"/>
    </row>
    <row r="692" spans="1:12" x14ac:dyDescent="0.3">
      <c r="A692" s="442">
        <f t="shared" si="10"/>
        <v>0</v>
      </c>
      <c r="B692" s="453"/>
      <c r="C692" s="454"/>
      <c r="D692" s="452"/>
      <c r="E692" s="454"/>
      <c r="F692" s="454"/>
      <c r="G692" s="454"/>
      <c r="H692" s="452"/>
      <c r="I692" s="454"/>
      <c r="J692" s="454"/>
      <c r="K692" s="454"/>
      <c r="L692" s="454"/>
    </row>
    <row r="693" spans="1:12" x14ac:dyDescent="0.3">
      <c r="A693" s="442">
        <f t="shared" ref="A693:A756" si="11">IF(D693="",0,SUBSTITUTE(LOWER(D693),"km","")+0)</f>
        <v>0</v>
      </c>
      <c r="B693" s="453"/>
      <c r="C693" s="454"/>
      <c r="D693" s="452"/>
      <c r="E693" s="454"/>
      <c r="F693" s="454"/>
      <c r="G693" s="454"/>
      <c r="H693" s="452"/>
      <c r="I693" s="454"/>
      <c r="J693" s="454"/>
      <c r="K693" s="454"/>
      <c r="L693" s="454"/>
    </row>
    <row r="694" spans="1:12" x14ac:dyDescent="0.3">
      <c r="A694" s="442">
        <f t="shared" si="11"/>
        <v>0</v>
      </c>
      <c r="B694" s="453"/>
      <c r="C694" s="454"/>
      <c r="D694" s="452"/>
      <c r="E694" s="454"/>
      <c r="F694" s="454"/>
      <c r="G694" s="454"/>
      <c r="H694" s="452"/>
      <c r="I694" s="454"/>
      <c r="J694" s="454"/>
      <c r="K694" s="454"/>
      <c r="L694" s="454"/>
    </row>
    <row r="695" spans="1:12" x14ac:dyDescent="0.3">
      <c r="A695" s="442">
        <f t="shared" si="11"/>
        <v>0</v>
      </c>
      <c r="B695" s="453"/>
      <c r="C695" s="454"/>
      <c r="D695" s="452"/>
      <c r="E695" s="454"/>
      <c r="F695" s="454"/>
      <c r="G695" s="454"/>
      <c r="H695" s="452"/>
      <c r="I695" s="454"/>
      <c r="J695" s="454"/>
      <c r="K695" s="454"/>
      <c r="L695" s="454"/>
    </row>
    <row r="696" spans="1:12" x14ac:dyDescent="0.3">
      <c r="A696" s="442">
        <f t="shared" si="11"/>
        <v>0</v>
      </c>
      <c r="B696" s="453"/>
      <c r="C696" s="454"/>
      <c r="D696" s="452"/>
      <c r="E696" s="454"/>
      <c r="F696" s="454"/>
      <c r="G696" s="454"/>
      <c r="H696" s="452"/>
      <c r="I696" s="454"/>
      <c r="J696" s="454"/>
      <c r="K696" s="454"/>
      <c r="L696" s="454"/>
    </row>
    <row r="697" spans="1:12" x14ac:dyDescent="0.3">
      <c r="A697" s="442">
        <f t="shared" si="11"/>
        <v>0</v>
      </c>
      <c r="B697" s="453"/>
      <c r="C697" s="454"/>
      <c r="D697" s="452"/>
      <c r="E697" s="454"/>
      <c r="F697" s="454"/>
      <c r="G697" s="454"/>
      <c r="H697" s="452"/>
      <c r="I697" s="454"/>
      <c r="J697" s="454"/>
      <c r="K697" s="454"/>
      <c r="L697" s="454"/>
    </row>
    <row r="698" spans="1:12" x14ac:dyDescent="0.3">
      <c r="A698" s="442">
        <f t="shared" si="11"/>
        <v>0</v>
      </c>
      <c r="B698" s="453"/>
      <c r="C698" s="454"/>
      <c r="D698" s="452"/>
      <c r="E698" s="454"/>
      <c r="F698" s="454"/>
      <c r="G698" s="454"/>
      <c r="H698" s="452"/>
      <c r="I698" s="454"/>
      <c r="J698" s="454"/>
      <c r="K698" s="454"/>
      <c r="L698" s="454"/>
    </row>
    <row r="699" spans="1:12" x14ac:dyDescent="0.3">
      <c r="A699" s="442">
        <f t="shared" si="11"/>
        <v>0</v>
      </c>
      <c r="B699" s="453"/>
      <c r="C699" s="454"/>
      <c r="D699" s="452"/>
      <c r="E699" s="454"/>
      <c r="F699" s="454"/>
      <c r="G699" s="454"/>
      <c r="H699" s="452"/>
      <c r="I699" s="454"/>
      <c r="J699" s="454"/>
      <c r="K699" s="454"/>
      <c r="L699" s="454"/>
    </row>
    <row r="700" spans="1:12" x14ac:dyDescent="0.3">
      <c r="A700" s="442">
        <f t="shared" si="11"/>
        <v>0</v>
      </c>
      <c r="B700" s="453"/>
      <c r="C700" s="454"/>
      <c r="D700" s="452"/>
      <c r="E700" s="454"/>
      <c r="F700" s="454"/>
      <c r="G700" s="454"/>
      <c r="H700" s="452"/>
      <c r="I700" s="454"/>
      <c r="J700" s="454"/>
      <c r="K700" s="454"/>
      <c r="L700" s="454"/>
    </row>
    <row r="701" spans="1:12" x14ac:dyDescent="0.3">
      <c r="A701" s="442">
        <f t="shared" si="11"/>
        <v>0</v>
      </c>
      <c r="B701" s="453"/>
      <c r="C701" s="454"/>
      <c r="D701" s="452"/>
      <c r="E701" s="454"/>
      <c r="F701" s="454"/>
      <c r="G701" s="454"/>
      <c r="H701" s="452"/>
      <c r="I701" s="454"/>
      <c r="J701" s="454"/>
      <c r="K701" s="454"/>
      <c r="L701" s="454"/>
    </row>
    <row r="702" spans="1:12" x14ac:dyDescent="0.3">
      <c r="A702" s="442">
        <f t="shared" si="11"/>
        <v>0</v>
      </c>
      <c r="B702" s="453"/>
      <c r="C702" s="454"/>
      <c r="D702" s="452"/>
      <c r="E702" s="454"/>
      <c r="F702" s="454"/>
      <c r="G702" s="454"/>
      <c r="H702" s="452"/>
      <c r="I702" s="454"/>
      <c r="J702" s="454"/>
      <c r="K702" s="454"/>
      <c r="L702" s="454"/>
    </row>
    <row r="703" spans="1:12" x14ac:dyDescent="0.3">
      <c r="A703" s="442">
        <f t="shared" si="11"/>
        <v>0</v>
      </c>
      <c r="B703" s="453"/>
      <c r="C703" s="454"/>
      <c r="D703" s="452"/>
      <c r="E703" s="454"/>
      <c r="F703" s="454"/>
      <c r="G703" s="454"/>
      <c r="H703" s="452"/>
      <c r="I703" s="454"/>
      <c r="J703" s="454"/>
      <c r="K703" s="454"/>
      <c r="L703" s="454"/>
    </row>
    <row r="704" spans="1:12" x14ac:dyDescent="0.3">
      <c r="A704" s="442">
        <f t="shared" si="11"/>
        <v>0</v>
      </c>
      <c r="B704" s="453"/>
      <c r="C704" s="454"/>
      <c r="D704" s="452"/>
      <c r="E704" s="454"/>
      <c r="F704" s="454"/>
      <c r="G704" s="454"/>
      <c r="H704" s="452"/>
      <c r="I704" s="454"/>
      <c r="J704" s="454"/>
      <c r="K704" s="454"/>
      <c r="L704" s="454"/>
    </row>
    <row r="705" spans="1:12" x14ac:dyDescent="0.3">
      <c r="A705" s="442">
        <f t="shared" si="11"/>
        <v>0</v>
      </c>
      <c r="B705" s="453"/>
      <c r="C705" s="454"/>
      <c r="D705" s="452"/>
      <c r="E705" s="454"/>
      <c r="F705" s="454"/>
      <c r="G705" s="454"/>
      <c r="H705" s="452"/>
      <c r="I705" s="454"/>
      <c r="J705" s="454"/>
      <c r="K705" s="454"/>
      <c r="L705" s="454"/>
    </row>
    <row r="706" spans="1:12" x14ac:dyDescent="0.3">
      <c r="A706" s="442">
        <f t="shared" si="11"/>
        <v>0</v>
      </c>
      <c r="B706" s="453"/>
      <c r="C706" s="454"/>
      <c r="D706" s="452"/>
      <c r="E706" s="454"/>
      <c r="F706" s="454"/>
      <c r="G706" s="454"/>
      <c r="H706" s="452"/>
      <c r="I706" s="454"/>
      <c r="J706" s="454"/>
      <c r="K706" s="454"/>
      <c r="L706" s="454"/>
    </row>
    <row r="707" spans="1:12" x14ac:dyDescent="0.3">
      <c r="A707" s="442">
        <f t="shared" si="11"/>
        <v>0</v>
      </c>
      <c r="B707" s="453"/>
      <c r="C707" s="454"/>
      <c r="D707" s="452"/>
      <c r="E707" s="454"/>
      <c r="F707" s="454"/>
      <c r="G707" s="454"/>
      <c r="H707" s="452"/>
      <c r="I707" s="454"/>
      <c r="J707" s="454"/>
      <c r="K707" s="454"/>
      <c r="L707" s="454"/>
    </row>
    <row r="708" spans="1:12" x14ac:dyDescent="0.3">
      <c r="A708" s="442">
        <f t="shared" si="11"/>
        <v>0</v>
      </c>
      <c r="B708" s="453"/>
      <c r="C708" s="454"/>
      <c r="D708" s="452"/>
      <c r="E708" s="454"/>
      <c r="F708" s="454"/>
      <c r="G708" s="454"/>
      <c r="H708" s="452"/>
      <c r="I708" s="454"/>
      <c r="J708" s="454"/>
      <c r="K708" s="454"/>
      <c r="L708" s="454"/>
    </row>
    <row r="709" spans="1:12" x14ac:dyDescent="0.3">
      <c r="A709" s="442">
        <f t="shared" si="11"/>
        <v>0</v>
      </c>
      <c r="B709" s="453"/>
      <c r="C709" s="454"/>
      <c r="D709" s="452"/>
      <c r="E709" s="454"/>
      <c r="F709" s="454"/>
      <c r="G709" s="454"/>
      <c r="H709" s="452"/>
      <c r="I709" s="454"/>
      <c r="J709" s="454"/>
      <c r="K709" s="454"/>
      <c r="L709" s="454"/>
    </row>
    <row r="710" spans="1:12" x14ac:dyDescent="0.3">
      <c r="A710" s="442">
        <f t="shared" si="11"/>
        <v>0</v>
      </c>
      <c r="B710" s="453"/>
      <c r="C710" s="454"/>
      <c r="D710" s="452"/>
      <c r="E710" s="454"/>
      <c r="F710" s="454"/>
      <c r="G710" s="454"/>
      <c r="H710" s="452"/>
      <c r="I710" s="454"/>
      <c r="J710" s="454"/>
      <c r="K710" s="454"/>
      <c r="L710" s="454"/>
    </row>
    <row r="711" spans="1:12" x14ac:dyDescent="0.3">
      <c r="A711" s="442">
        <f t="shared" si="11"/>
        <v>0</v>
      </c>
      <c r="B711" s="453"/>
      <c r="C711" s="454"/>
      <c r="D711" s="452"/>
      <c r="E711" s="454"/>
      <c r="F711" s="454"/>
      <c r="G711" s="454"/>
      <c r="H711" s="452"/>
      <c r="I711" s="454"/>
      <c r="J711" s="454"/>
      <c r="K711" s="454"/>
      <c r="L711" s="454"/>
    </row>
    <row r="712" spans="1:12" x14ac:dyDescent="0.3">
      <c r="A712" s="442">
        <f t="shared" si="11"/>
        <v>0</v>
      </c>
      <c r="B712" s="453"/>
      <c r="C712" s="454"/>
      <c r="D712" s="452"/>
      <c r="E712" s="454"/>
      <c r="F712" s="454"/>
      <c r="G712" s="454"/>
      <c r="H712" s="452"/>
      <c r="I712" s="454"/>
      <c r="J712" s="454"/>
      <c r="K712" s="454"/>
      <c r="L712" s="454"/>
    </row>
    <row r="713" spans="1:12" x14ac:dyDescent="0.3">
      <c r="A713" s="442">
        <f t="shared" si="11"/>
        <v>0</v>
      </c>
      <c r="B713" s="453"/>
      <c r="C713" s="454"/>
      <c r="D713" s="452"/>
      <c r="E713" s="454"/>
      <c r="F713" s="454"/>
      <c r="G713" s="454"/>
      <c r="H713" s="452"/>
      <c r="I713" s="454"/>
      <c r="J713" s="454"/>
      <c r="K713" s="454"/>
      <c r="L713" s="454"/>
    </row>
    <row r="714" spans="1:12" x14ac:dyDescent="0.3">
      <c r="A714" s="442">
        <f t="shared" si="11"/>
        <v>0</v>
      </c>
      <c r="B714" s="453"/>
      <c r="C714" s="454"/>
      <c r="D714" s="452"/>
      <c r="E714" s="454"/>
      <c r="F714" s="454"/>
      <c r="G714" s="454"/>
      <c r="H714" s="452"/>
      <c r="I714" s="454"/>
      <c r="J714" s="454"/>
      <c r="K714" s="454"/>
      <c r="L714" s="454"/>
    </row>
    <row r="715" spans="1:12" x14ac:dyDescent="0.3">
      <c r="A715" s="442">
        <f t="shared" si="11"/>
        <v>0</v>
      </c>
      <c r="B715" s="453"/>
      <c r="C715" s="454"/>
      <c r="D715" s="452"/>
      <c r="E715" s="454"/>
      <c r="F715" s="454"/>
      <c r="G715" s="454"/>
      <c r="H715" s="452"/>
      <c r="I715" s="454"/>
      <c r="J715" s="454"/>
      <c r="K715" s="454"/>
      <c r="L715" s="454"/>
    </row>
    <row r="716" spans="1:12" x14ac:dyDescent="0.3">
      <c r="A716" s="442">
        <f t="shared" si="11"/>
        <v>0</v>
      </c>
      <c r="B716" s="453"/>
      <c r="C716" s="454"/>
      <c r="D716" s="452"/>
      <c r="E716" s="454"/>
      <c r="F716" s="454"/>
      <c r="G716" s="454"/>
      <c r="H716" s="452"/>
      <c r="I716" s="454"/>
      <c r="J716" s="454"/>
      <c r="K716" s="454"/>
      <c r="L716" s="454"/>
    </row>
    <row r="717" spans="1:12" x14ac:dyDescent="0.3">
      <c r="A717" s="442">
        <f t="shared" si="11"/>
        <v>0</v>
      </c>
      <c r="B717" s="453"/>
      <c r="C717" s="454"/>
      <c r="D717" s="452"/>
      <c r="E717" s="454"/>
      <c r="F717" s="454"/>
      <c r="G717" s="454"/>
      <c r="H717" s="452"/>
      <c r="I717" s="454"/>
      <c r="J717" s="454"/>
      <c r="K717" s="454"/>
      <c r="L717" s="454"/>
    </row>
    <row r="718" spans="1:12" x14ac:dyDescent="0.3">
      <c r="A718" s="442">
        <f t="shared" si="11"/>
        <v>0</v>
      </c>
      <c r="B718" s="453"/>
      <c r="C718" s="454"/>
      <c r="D718" s="452"/>
      <c r="E718" s="454"/>
      <c r="F718" s="454"/>
      <c r="G718" s="454"/>
      <c r="H718" s="452"/>
      <c r="I718" s="454"/>
      <c r="J718" s="454"/>
      <c r="K718" s="454"/>
      <c r="L718" s="454"/>
    </row>
    <row r="719" spans="1:12" x14ac:dyDescent="0.3">
      <c r="A719" s="442">
        <f t="shared" si="11"/>
        <v>0</v>
      </c>
      <c r="B719" s="453"/>
      <c r="C719" s="454"/>
      <c r="D719" s="452"/>
      <c r="E719" s="454"/>
      <c r="F719" s="454"/>
      <c r="G719" s="454"/>
      <c r="H719" s="452"/>
      <c r="I719" s="454"/>
      <c r="J719" s="454"/>
      <c r="K719" s="454"/>
      <c r="L719" s="454"/>
    </row>
    <row r="720" spans="1:12" x14ac:dyDescent="0.3">
      <c r="A720" s="442">
        <f t="shared" si="11"/>
        <v>0</v>
      </c>
      <c r="B720" s="453"/>
      <c r="C720" s="454"/>
      <c r="D720" s="452"/>
      <c r="E720" s="454"/>
      <c r="F720" s="454"/>
      <c r="G720" s="454"/>
      <c r="H720" s="452"/>
      <c r="I720" s="454"/>
      <c r="J720" s="454"/>
      <c r="K720" s="454"/>
      <c r="L720" s="454"/>
    </row>
    <row r="721" spans="1:12" x14ac:dyDescent="0.3">
      <c r="A721" s="442">
        <f t="shared" si="11"/>
        <v>0</v>
      </c>
      <c r="B721" s="453"/>
      <c r="C721" s="454"/>
      <c r="D721" s="452"/>
      <c r="E721" s="454"/>
      <c r="F721" s="454"/>
      <c r="G721" s="454"/>
      <c r="H721" s="452"/>
      <c r="I721" s="454"/>
      <c r="J721" s="454"/>
      <c r="K721" s="454"/>
      <c r="L721" s="454"/>
    </row>
    <row r="722" spans="1:12" x14ac:dyDescent="0.3">
      <c r="A722" s="442">
        <f t="shared" si="11"/>
        <v>0</v>
      </c>
      <c r="B722" s="453"/>
      <c r="C722" s="454"/>
      <c r="D722" s="452"/>
      <c r="E722" s="454"/>
      <c r="F722" s="454"/>
      <c r="G722" s="454"/>
      <c r="H722" s="452"/>
      <c r="I722" s="454"/>
      <c r="J722" s="454"/>
      <c r="K722" s="454"/>
      <c r="L722" s="454"/>
    </row>
    <row r="723" spans="1:12" x14ac:dyDescent="0.3">
      <c r="A723" s="442">
        <f t="shared" si="11"/>
        <v>0</v>
      </c>
      <c r="B723" s="453"/>
      <c r="C723" s="454"/>
      <c r="D723" s="452"/>
      <c r="E723" s="454"/>
      <c r="F723" s="454"/>
      <c r="G723" s="454"/>
      <c r="H723" s="452"/>
      <c r="I723" s="454"/>
      <c r="J723" s="454"/>
      <c r="K723" s="454"/>
      <c r="L723" s="454"/>
    </row>
    <row r="724" spans="1:12" x14ac:dyDescent="0.3">
      <c r="A724" s="442">
        <f t="shared" si="11"/>
        <v>0</v>
      </c>
      <c r="B724" s="453"/>
      <c r="C724" s="454"/>
      <c r="D724" s="452"/>
      <c r="E724" s="454"/>
      <c r="F724" s="454"/>
      <c r="G724" s="454"/>
      <c r="H724" s="452"/>
      <c r="I724" s="454"/>
      <c r="J724" s="454"/>
      <c r="K724" s="454"/>
      <c r="L724" s="454"/>
    </row>
    <row r="725" spans="1:12" x14ac:dyDescent="0.3">
      <c r="A725" s="442">
        <f t="shared" si="11"/>
        <v>0</v>
      </c>
      <c r="B725" s="453"/>
      <c r="C725" s="454"/>
      <c r="D725" s="452"/>
      <c r="E725" s="454"/>
      <c r="F725" s="454"/>
      <c r="G725" s="454"/>
      <c r="H725" s="452"/>
      <c r="I725" s="454"/>
      <c r="J725" s="454"/>
      <c r="K725" s="454"/>
      <c r="L725" s="454"/>
    </row>
    <row r="726" spans="1:12" x14ac:dyDescent="0.3">
      <c r="A726" s="442">
        <f t="shared" si="11"/>
        <v>0</v>
      </c>
      <c r="B726" s="453"/>
      <c r="C726" s="454"/>
      <c r="D726" s="452"/>
      <c r="E726" s="454"/>
      <c r="F726" s="454"/>
      <c r="G726" s="454"/>
      <c r="H726" s="452"/>
      <c r="I726" s="454"/>
      <c r="J726" s="454"/>
      <c r="K726" s="454"/>
      <c r="L726" s="454"/>
    </row>
    <row r="727" spans="1:12" x14ac:dyDescent="0.3">
      <c r="A727" s="442">
        <f t="shared" si="11"/>
        <v>0</v>
      </c>
      <c r="B727" s="453"/>
      <c r="C727" s="454"/>
      <c r="D727" s="452"/>
      <c r="E727" s="454"/>
      <c r="F727" s="454"/>
      <c r="G727" s="454"/>
      <c r="H727" s="452"/>
      <c r="I727" s="454"/>
      <c r="J727" s="454"/>
      <c r="K727" s="454"/>
      <c r="L727" s="454"/>
    </row>
    <row r="728" spans="1:12" x14ac:dyDescent="0.3">
      <c r="A728" s="442">
        <f t="shared" si="11"/>
        <v>0</v>
      </c>
      <c r="B728" s="453"/>
      <c r="C728" s="454"/>
      <c r="D728" s="452"/>
      <c r="E728" s="454"/>
      <c r="F728" s="454"/>
      <c r="G728" s="454"/>
      <c r="H728" s="452"/>
      <c r="I728" s="454"/>
      <c r="J728" s="454"/>
      <c r="K728" s="454"/>
      <c r="L728" s="454"/>
    </row>
    <row r="729" spans="1:12" x14ac:dyDescent="0.3">
      <c r="A729" s="442">
        <f t="shared" si="11"/>
        <v>0</v>
      </c>
      <c r="B729" s="453"/>
      <c r="C729" s="454"/>
      <c r="D729" s="452"/>
      <c r="E729" s="454"/>
      <c r="F729" s="454"/>
      <c r="G729" s="454"/>
      <c r="H729" s="452"/>
      <c r="I729" s="454"/>
      <c r="J729" s="454"/>
      <c r="K729" s="454"/>
      <c r="L729" s="454"/>
    </row>
    <row r="730" spans="1:12" x14ac:dyDescent="0.3">
      <c r="A730" s="442">
        <f t="shared" si="11"/>
        <v>0</v>
      </c>
      <c r="B730" s="453"/>
      <c r="C730" s="454"/>
      <c r="D730" s="452"/>
      <c r="E730" s="454"/>
      <c r="F730" s="454"/>
      <c r="G730" s="454"/>
      <c r="H730" s="452"/>
      <c r="I730" s="454"/>
      <c r="J730" s="454"/>
      <c r="K730" s="454"/>
      <c r="L730" s="454"/>
    </row>
    <row r="731" spans="1:12" x14ac:dyDescent="0.3">
      <c r="A731" s="442">
        <f t="shared" si="11"/>
        <v>0</v>
      </c>
      <c r="B731" s="453"/>
      <c r="C731" s="454"/>
      <c r="D731" s="452"/>
      <c r="E731" s="454"/>
      <c r="F731" s="454"/>
      <c r="G731" s="454"/>
      <c r="H731" s="452"/>
      <c r="I731" s="454"/>
      <c r="J731" s="454"/>
      <c r="K731" s="454"/>
      <c r="L731" s="454"/>
    </row>
    <row r="732" spans="1:12" x14ac:dyDescent="0.3">
      <c r="A732" s="442">
        <f t="shared" si="11"/>
        <v>0</v>
      </c>
      <c r="B732" s="453"/>
      <c r="C732" s="454"/>
      <c r="D732" s="452"/>
      <c r="E732" s="454"/>
      <c r="F732" s="454"/>
      <c r="G732" s="454"/>
      <c r="H732" s="452"/>
      <c r="I732" s="454"/>
      <c r="J732" s="454"/>
      <c r="K732" s="454"/>
      <c r="L732" s="454"/>
    </row>
    <row r="733" spans="1:12" x14ac:dyDescent="0.3">
      <c r="A733" s="442">
        <f t="shared" si="11"/>
        <v>0</v>
      </c>
      <c r="B733" s="453"/>
      <c r="C733" s="454"/>
      <c r="D733" s="452"/>
      <c r="E733" s="454"/>
      <c r="F733" s="454"/>
      <c r="G733" s="454"/>
      <c r="H733" s="452"/>
      <c r="I733" s="454"/>
      <c r="J733" s="454"/>
      <c r="K733" s="454"/>
      <c r="L733" s="454"/>
    </row>
    <row r="734" spans="1:12" x14ac:dyDescent="0.3">
      <c r="A734" s="442">
        <f t="shared" si="11"/>
        <v>0</v>
      </c>
      <c r="B734" s="453"/>
      <c r="C734" s="454"/>
      <c r="D734" s="452"/>
      <c r="E734" s="454"/>
      <c r="F734" s="454"/>
      <c r="G734" s="454"/>
      <c r="H734" s="452"/>
      <c r="I734" s="454"/>
      <c r="J734" s="454"/>
      <c r="K734" s="454"/>
      <c r="L734" s="454"/>
    </row>
    <row r="735" spans="1:12" x14ac:dyDescent="0.3">
      <c r="A735" s="442">
        <f t="shared" si="11"/>
        <v>0</v>
      </c>
      <c r="B735" s="453"/>
      <c r="C735" s="454"/>
      <c r="D735" s="452"/>
      <c r="E735" s="454"/>
      <c r="F735" s="454"/>
      <c r="G735" s="454"/>
      <c r="H735" s="452"/>
      <c r="I735" s="454"/>
      <c r="J735" s="454"/>
      <c r="K735" s="454"/>
      <c r="L735" s="454"/>
    </row>
    <row r="736" spans="1:12" x14ac:dyDescent="0.3">
      <c r="A736" s="442">
        <f t="shared" si="11"/>
        <v>0</v>
      </c>
      <c r="B736" s="453"/>
      <c r="C736" s="454"/>
      <c r="D736" s="452"/>
      <c r="E736" s="454"/>
      <c r="F736" s="454"/>
      <c r="G736" s="454"/>
      <c r="H736" s="452"/>
      <c r="I736" s="454"/>
      <c r="J736" s="454"/>
      <c r="K736" s="454"/>
      <c r="L736" s="454"/>
    </row>
    <row r="737" spans="1:12" x14ac:dyDescent="0.3">
      <c r="A737" s="442">
        <f t="shared" si="11"/>
        <v>0</v>
      </c>
      <c r="B737" s="453"/>
      <c r="C737" s="454"/>
      <c r="D737" s="452"/>
      <c r="E737" s="454"/>
      <c r="F737" s="454"/>
      <c r="G737" s="454"/>
      <c r="H737" s="452"/>
      <c r="I737" s="454"/>
      <c r="J737" s="454"/>
      <c r="K737" s="454"/>
      <c r="L737" s="454"/>
    </row>
    <row r="738" spans="1:12" x14ac:dyDescent="0.3">
      <c r="A738" s="442">
        <f t="shared" si="11"/>
        <v>0</v>
      </c>
      <c r="B738" s="453"/>
      <c r="C738" s="454"/>
      <c r="D738" s="452"/>
      <c r="E738" s="454"/>
      <c r="F738" s="454"/>
      <c r="G738" s="454"/>
      <c r="H738" s="452"/>
      <c r="I738" s="454"/>
      <c r="J738" s="454"/>
      <c r="K738" s="454"/>
      <c r="L738" s="454"/>
    </row>
    <row r="739" spans="1:12" x14ac:dyDescent="0.3">
      <c r="A739" s="442">
        <f t="shared" si="11"/>
        <v>0</v>
      </c>
      <c r="B739" s="453"/>
      <c r="C739" s="454"/>
      <c r="D739" s="452"/>
      <c r="E739" s="454"/>
      <c r="F739" s="454"/>
      <c r="G739" s="454"/>
      <c r="H739" s="452"/>
      <c r="I739" s="454"/>
      <c r="J739" s="454"/>
      <c r="K739" s="454"/>
      <c r="L739" s="454"/>
    </row>
    <row r="740" spans="1:12" x14ac:dyDescent="0.3">
      <c r="A740" s="442">
        <f t="shared" si="11"/>
        <v>0</v>
      </c>
      <c r="B740" s="453"/>
      <c r="C740" s="454"/>
      <c r="D740" s="452"/>
      <c r="E740" s="454"/>
      <c r="F740" s="454"/>
      <c r="G740" s="454"/>
      <c r="H740" s="452"/>
      <c r="I740" s="454"/>
      <c r="J740" s="454"/>
      <c r="K740" s="454"/>
      <c r="L740" s="454"/>
    </row>
    <row r="741" spans="1:12" x14ac:dyDescent="0.3">
      <c r="A741" s="442">
        <f t="shared" si="11"/>
        <v>0</v>
      </c>
      <c r="B741" s="453"/>
      <c r="C741" s="454"/>
      <c r="D741" s="452"/>
      <c r="E741" s="454"/>
      <c r="F741" s="454"/>
      <c r="G741" s="454"/>
      <c r="H741" s="452"/>
      <c r="I741" s="454"/>
      <c r="J741" s="454"/>
      <c r="K741" s="454"/>
      <c r="L741" s="454"/>
    </row>
    <row r="742" spans="1:12" x14ac:dyDescent="0.3">
      <c r="A742" s="442">
        <f t="shared" si="11"/>
        <v>0</v>
      </c>
      <c r="B742" s="453"/>
      <c r="C742" s="454"/>
      <c r="D742" s="452"/>
      <c r="E742" s="454"/>
      <c r="F742" s="454"/>
      <c r="G742" s="454"/>
      <c r="H742" s="452"/>
      <c r="I742" s="454"/>
      <c r="J742" s="454"/>
      <c r="K742" s="454"/>
      <c r="L742" s="454"/>
    </row>
    <row r="743" spans="1:12" x14ac:dyDescent="0.3">
      <c r="A743" s="442">
        <f t="shared" si="11"/>
        <v>0</v>
      </c>
      <c r="B743" s="453"/>
      <c r="C743" s="454"/>
      <c r="D743" s="452"/>
      <c r="E743" s="454"/>
      <c r="F743" s="454"/>
      <c r="G743" s="454"/>
      <c r="H743" s="452"/>
      <c r="I743" s="454"/>
      <c r="J743" s="454"/>
      <c r="K743" s="454"/>
      <c r="L743" s="454"/>
    </row>
    <row r="744" spans="1:12" x14ac:dyDescent="0.3">
      <c r="A744" s="442">
        <f t="shared" si="11"/>
        <v>0</v>
      </c>
      <c r="B744" s="453"/>
      <c r="C744" s="454"/>
      <c r="D744" s="452"/>
      <c r="E744" s="454"/>
      <c r="F744" s="454"/>
      <c r="G744" s="454"/>
      <c r="H744" s="452"/>
      <c r="I744" s="454"/>
      <c r="J744" s="454"/>
      <c r="K744" s="454"/>
      <c r="L744" s="454"/>
    </row>
    <row r="745" spans="1:12" x14ac:dyDescent="0.3">
      <c r="A745" s="442">
        <f t="shared" si="11"/>
        <v>0</v>
      </c>
      <c r="B745" s="453"/>
      <c r="C745" s="454"/>
      <c r="D745" s="452"/>
      <c r="E745" s="454"/>
      <c r="F745" s="454"/>
      <c r="G745" s="454"/>
      <c r="H745" s="452"/>
      <c r="I745" s="454"/>
      <c r="J745" s="454"/>
      <c r="K745" s="454"/>
      <c r="L745" s="454"/>
    </row>
    <row r="746" spans="1:12" x14ac:dyDescent="0.3">
      <c r="A746" s="442">
        <f t="shared" si="11"/>
        <v>0</v>
      </c>
      <c r="B746" s="453"/>
      <c r="C746" s="454"/>
      <c r="D746" s="452"/>
      <c r="E746" s="454"/>
      <c r="F746" s="454"/>
      <c r="G746" s="454"/>
      <c r="H746" s="452"/>
      <c r="I746" s="454"/>
      <c r="J746" s="454"/>
      <c r="K746" s="454"/>
      <c r="L746" s="454"/>
    </row>
    <row r="747" spans="1:12" x14ac:dyDescent="0.3">
      <c r="A747" s="442">
        <f t="shared" si="11"/>
        <v>0</v>
      </c>
      <c r="B747" s="453"/>
      <c r="C747" s="454"/>
      <c r="D747" s="452"/>
      <c r="E747" s="454"/>
      <c r="F747" s="454"/>
      <c r="G747" s="454"/>
      <c r="H747" s="452"/>
      <c r="I747" s="454"/>
      <c r="J747" s="454"/>
      <c r="K747" s="454"/>
      <c r="L747" s="454"/>
    </row>
    <row r="748" spans="1:12" x14ac:dyDescent="0.3">
      <c r="A748" s="442">
        <f t="shared" si="11"/>
        <v>0</v>
      </c>
      <c r="B748" s="453"/>
      <c r="C748" s="454"/>
      <c r="D748" s="452"/>
      <c r="E748" s="454"/>
      <c r="F748" s="454"/>
      <c r="G748" s="454"/>
      <c r="H748" s="452"/>
      <c r="I748" s="454"/>
      <c r="J748" s="454"/>
      <c r="K748" s="454"/>
      <c r="L748" s="454"/>
    </row>
    <row r="749" spans="1:12" x14ac:dyDescent="0.3">
      <c r="A749" s="442">
        <f t="shared" si="11"/>
        <v>0</v>
      </c>
      <c r="B749" s="453"/>
      <c r="C749" s="454"/>
      <c r="D749" s="452"/>
      <c r="E749" s="454"/>
      <c r="F749" s="454"/>
      <c r="G749" s="454"/>
      <c r="H749" s="452"/>
      <c r="I749" s="454"/>
      <c r="J749" s="454"/>
      <c r="K749" s="454"/>
      <c r="L749" s="454"/>
    </row>
    <row r="750" spans="1:12" x14ac:dyDescent="0.3">
      <c r="A750" s="442">
        <f t="shared" si="11"/>
        <v>0</v>
      </c>
      <c r="B750" s="453"/>
      <c r="C750" s="454"/>
      <c r="D750" s="452"/>
      <c r="E750" s="454"/>
      <c r="F750" s="454"/>
      <c r="G750" s="454"/>
      <c r="H750" s="452"/>
      <c r="I750" s="454"/>
      <c r="J750" s="454"/>
      <c r="K750" s="454"/>
      <c r="L750" s="454"/>
    </row>
    <row r="751" spans="1:12" x14ac:dyDescent="0.3">
      <c r="A751" s="442">
        <f t="shared" si="11"/>
        <v>0</v>
      </c>
      <c r="B751" s="453"/>
      <c r="C751" s="454"/>
      <c r="D751" s="452"/>
      <c r="E751" s="454"/>
      <c r="F751" s="454"/>
      <c r="G751" s="454"/>
      <c r="H751" s="452"/>
      <c r="I751" s="454"/>
      <c r="J751" s="454"/>
      <c r="K751" s="454"/>
      <c r="L751" s="454"/>
    </row>
    <row r="752" spans="1:12" x14ac:dyDescent="0.3">
      <c r="A752" s="442">
        <f t="shared" si="11"/>
        <v>0</v>
      </c>
      <c r="B752" s="453"/>
      <c r="C752" s="454"/>
      <c r="D752" s="452"/>
      <c r="E752" s="454"/>
      <c r="F752" s="454"/>
      <c r="G752" s="454"/>
      <c r="H752" s="452"/>
      <c r="I752" s="454"/>
      <c r="J752" s="454"/>
      <c r="K752" s="454"/>
      <c r="L752" s="454"/>
    </row>
    <row r="753" spans="1:12" x14ac:dyDescent="0.3">
      <c r="A753" s="442">
        <f t="shared" si="11"/>
        <v>0</v>
      </c>
      <c r="B753" s="453"/>
      <c r="C753" s="454"/>
      <c r="D753" s="452"/>
      <c r="E753" s="454"/>
      <c r="F753" s="454"/>
      <c r="G753" s="454"/>
      <c r="H753" s="452"/>
      <c r="I753" s="454"/>
      <c r="J753" s="454"/>
      <c r="K753" s="454"/>
      <c r="L753" s="454"/>
    </row>
    <row r="754" spans="1:12" x14ac:dyDescent="0.3">
      <c r="A754" s="442">
        <f t="shared" si="11"/>
        <v>0</v>
      </c>
      <c r="B754" s="453"/>
      <c r="C754" s="454"/>
      <c r="D754" s="452"/>
      <c r="E754" s="454"/>
      <c r="F754" s="454"/>
      <c r="G754" s="454"/>
      <c r="H754" s="452"/>
      <c r="I754" s="454"/>
      <c r="J754" s="454"/>
      <c r="K754" s="454"/>
      <c r="L754" s="454"/>
    </row>
    <row r="755" spans="1:12" x14ac:dyDescent="0.3">
      <c r="A755" s="442">
        <f t="shared" si="11"/>
        <v>0</v>
      </c>
      <c r="B755" s="453"/>
      <c r="C755" s="454"/>
      <c r="D755" s="452"/>
      <c r="E755" s="454"/>
      <c r="F755" s="454"/>
      <c r="G755" s="454"/>
      <c r="H755" s="452"/>
      <c r="I755" s="454"/>
      <c r="J755" s="454"/>
      <c r="K755" s="454"/>
      <c r="L755" s="454"/>
    </row>
    <row r="756" spans="1:12" x14ac:dyDescent="0.3">
      <c r="A756" s="442">
        <f t="shared" si="11"/>
        <v>0</v>
      </c>
      <c r="B756" s="453"/>
      <c r="C756" s="454"/>
      <c r="D756" s="452"/>
      <c r="E756" s="454"/>
      <c r="F756" s="454"/>
      <c r="G756" s="454"/>
      <c r="H756" s="452"/>
      <c r="I756" s="454"/>
      <c r="J756" s="454"/>
      <c r="K756" s="454"/>
      <c r="L756" s="454"/>
    </row>
    <row r="757" spans="1:12" x14ac:dyDescent="0.3">
      <c r="A757" s="442">
        <f t="shared" ref="A757:A820" si="12">IF(D757="",0,SUBSTITUTE(LOWER(D757),"km","")+0)</f>
        <v>0</v>
      </c>
      <c r="B757" s="453"/>
      <c r="C757" s="454"/>
      <c r="D757" s="452"/>
      <c r="E757" s="454"/>
      <c r="F757" s="454"/>
      <c r="G757" s="454"/>
      <c r="H757" s="452"/>
      <c r="I757" s="454"/>
      <c r="J757" s="454"/>
      <c r="K757" s="454"/>
      <c r="L757" s="454"/>
    </row>
    <row r="758" spans="1:12" x14ac:dyDescent="0.3">
      <c r="A758" s="442">
        <f t="shared" si="12"/>
        <v>0</v>
      </c>
      <c r="B758" s="453"/>
      <c r="C758" s="454"/>
      <c r="D758" s="452"/>
      <c r="E758" s="454"/>
      <c r="F758" s="454"/>
      <c r="G758" s="454"/>
      <c r="H758" s="452"/>
      <c r="I758" s="454"/>
      <c r="J758" s="454"/>
      <c r="K758" s="454"/>
      <c r="L758" s="454"/>
    </row>
    <row r="759" spans="1:12" x14ac:dyDescent="0.3">
      <c r="A759" s="442">
        <f t="shared" si="12"/>
        <v>0</v>
      </c>
      <c r="B759" s="453"/>
      <c r="C759" s="454"/>
      <c r="D759" s="452"/>
      <c r="E759" s="454"/>
      <c r="F759" s="454"/>
      <c r="G759" s="454"/>
      <c r="H759" s="452"/>
      <c r="I759" s="454"/>
      <c r="J759" s="454"/>
      <c r="K759" s="454"/>
      <c r="L759" s="454"/>
    </row>
    <row r="760" spans="1:12" x14ac:dyDescent="0.3">
      <c r="A760" s="442">
        <f t="shared" si="12"/>
        <v>0</v>
      </c>
      <c r="B760" s="453"/>
      <c r="C760" s="454"/>
      <c r="D760" s="452"/>
      <c r="E760" s="454"/>
      <c r="F760" s="454"/>
      <c r="G760" s="454"/>
      <c r="H760" s="452"/>
      <c r="I760" s="454"/>
      <c r="J760" s="454"/>
      <c r="K760" s="454"/>
      <c r="L760" s="454"/>
    </row>
    <row r="761" spans="1:12" x14ac:dyDescent="0.3">
      <c r="A761" s="442">
        <f t="shared" si="12"/>
        <v>0</v>
      </c>
      <c r="B761" s="453"/>
      <c r="C761" s="454"/>
      <c r="D761" s="452"/>
      <c r="E761" s="454"/>
      <c r="F761" s="454"/>
      <c r="G761" s="454"/>
      <c r="H761" s="452"/>
      <c r="I761" s="454"/>
      <c r="J761" s="454"/>
      <c r="K761" s="454"/>
      <c r="L761" s="454"/>
    </row>
    <row r="762" spans="1:12" x14ac:dyDescent="0.3">
      <c r="A762" s="442">
        <f t="shared" si="12"/>
        <v>0</v>
      </c>
      <c r="B762" s="453"/>
      <c r="C762" s="454"/>
      <c r="D762" s="452"/>
      <c r="E762" s="454"/>
      <c r="F762" s="454"/>
      <c r="G762" s="454"/>
      <c r="H762" s="452"/>
      <c r="I762" s="454"/>
      <c r="J762" s="454"/>
      <c r="K762" s="454"/>
      <c r="L762" s="454"/>
    </row>
    <row r="763" spans="1:12" x14ac:dyDescent="0.3">
      <c r="A763" s="442">
        <f t="shared" si="12"/>
        <v>0</v>
      </c>
      <c r="B763" s="453"/>
      <c r="C763" s="454"/>
      <c r="D763" s="452"/>
      <c r="E763" s="454"/>
      <c r="F763" s="454"/>
      <c r="G763" s="454"/>
      <c r="H763" s="452"/>
      <c r="I763" s="454"/>
      <c r="J763" s="454"/>
      <c r="K763" s="454"/>
      <c r="L763" s="454"/>
    </row>
    <row r="764" spans="1:12" x14ac:dyDescent="0.3">
      <c r="A764" s="442">
        <f t="shared" si="12"/>
        <v>0</v>
      </c>
      <c r="B764" s="453"/>
      <c r="C764" s="454"/>
      <c r="D764" s="452"/>
      <c r="E764" s="454"/>
      <c r="F764" s="454"/>
      <c r="G764" s="454"/>
      <c r="H764" s="452"/>
      <c r="I764" s="454"/>
      <c r="J764" s="454"/>
      <c r="K764" s="454"/>
      <c r="L764" s="454"/>
    </row>
    <row r="765" spans="1:12" x14ac:dyDescent="0.3">
      <c r="A765" s="442">
        <f t="shared" si="12"/>
        <v>0</v>
      </c>
      <c r="B765" s="453"/>
      <c r="C765" s="454"/>
      <c r="D765" s="452"/>
      <c r="E765" s="454"/>
      <c r="F765" s="454"/>
      <c r="G765" s="454"/>
      <c r="H765" s="452"/>
      <c r="I765" s="454"/>
      <c r="J765" s="454"/>
      <c r="K765" s="454"/>
      <c r="L765" s="454"/>
    </row>
    <row r="766" spans="1:12" x14ac:dyDescent="0.3">
      <c r="A766" s="442">
        <f t="shared" si="12"/>
        <v>0</v>
      </c>
      <c r="B766" s="453"/>
      <c r="C766" s="454"/>
      <c r="D766" s="452"/>
      <c r="E766" s="454"/>
      <c r="F766" s="454"/>
      <c r="G766" s="454"/>
      <c r="H766" s="452"/>
      <c r="I766" s="454"/>
      <c r="J766" s="454"/>
      <c r="K766" s="454"/>
      <c r="L766" s="454"/>
    </row>
    <row r="767" spans="1:12" x14ac:dyDescent="0.3">
      <c r="A767" s="442">
        <f t="shared" si="12"/>
        <v>0</v>
      </c>
      <c r="B767" s="453"/>
      <c r="C767" s="454"/>
      <c r="D767" s="452"/>
      <c r="E767" s="454"/>
      <c r="F767" s="454"/>
      <c r="G767" s="454"/>
      <c r="H767" s="452"/>
      <c r="I767" s="454"/>
      <c r="J767" s="454"/>
      <c r="K767" s="454"/>
      <c r="L767" s="454"/>
    </row>
    <row r="768" spans="1:12" x14ac:dyDescent="0.3">
      <c r="A768" s="442">
        <f t="shared" si="12"/>
        <v>0</v>
      </c>
      <c r="B768" s="453"/>
      <c r="C768" s="454"/>
      <c r="D768" s="452"/>
      <c r="E768" s="454"/>
      <c r="F768" s="454"/>
      <c r="G768" s="454"/>
      <c r="H768" s="452"/>
      <c r="I768" s="454"/>
      <c r="J768" s="454"/>
      <c r="K768" s="454"/>
      <c r="L768" s="454"/>
    </row>
    <row r="769" spans="1:12" x14ac:dyDescent="0.3">
      <c r="A769" s="442">
        <f t="shared" si="12"/>
        <v>0</v>
      </c>
      <c r="B769" s="453"/>
      <c r="C769" s="454"/>
      <c r="D769" s="452"/>
      <c r="E769" s="454"/>
      <c r="F769" s="454"/>
      <c r="G769" s="454"/>
      <c r="H769" s="452"/>
      <c r="I769" s="454"/>
      <c r="J769" s="454"/>
      <c r="K769" s="454"/>
      <c r="L769" s="454"/>
    </row>
    <row r="770" spans="1:12" x14ac:dyDescent="0.3">
      <c r="A770" s="442">
        <f t="shared" si="12"/>
        <v>0</v>
      </c>
      <c r="B770" s="453"/>
      <c r="C770" s="454"/>
      <c r="D770" s="452"/>
      <c r="E770" s="454"/>
      <c r="F770" s="454"/>
      <c r="G770" s="454"/>
      <c r="H770" s="452"/>
      <c r="I770" s="454"/>
      <c r="J770" s="454"/>
      <c r="K770" s="454"/>
      <c r="L770" s="454"/>
    </row>
    <row r="771" spans="1:12" x14ac:dyDescent="0.3">
      <c r="A771" s="442">
        <f t="shared" si="12"/>
        <v>0</v>
      </c>
      <c r="B771" s="453"/>
      <c r="C771" s="454"/>
      <c r="D771" s="452"/>
      <c r="E771" s="454"/>
      <c r="F771" s="454"/>
      <c r="G771" s="454"/>
      <c r="H771" s="452"/>
      <c r="I771" s="454"/>
      <c r="J771" s="454"/>
      <c r="K771" s="454"/>
      <c r="L771" s="454"/>
    </row>
    <row r="772" spans="1:12" x14ac:dyDescent="0.3">
      <c r="A772" s="442">
        <f t="shared" si="12"/>
        <v>0</v>
      </c>
      <c r="B772" s="453"/>
      <c r="C772" s="454"/>
      <c r="D772" s="452"/>
      <c r="E772" s="454"/>
      <c r="F772" s="454"/>
      <c r="G772" s="454"/>
      <c r="H772" s="452"/>
      <c r="I772" s="454"/>
      <c r="J772" s="454"/>
      <c r="K772" s="454"/>
      <c r="L772" s="454"/>
    </row>
    <row r="773" spans="1:12" x14ac:dyDescent="0.3">
      <c r="A773" s="442">
        <f t="shared" si="12"/>
        <v>0</v>
      </c>
      <c r="B773" s="453"/>
      <c r="C773" s="454"/>
      <c r="D773" s="452"/>
      <c r="E773" s="454"/>
      <c r="F773" s="454"/>
      <c r="G773" s="454"/>
      <c r="H773" s="452"/>
      <c r="I773" s="454"/>
      <c r="J773" s="454"/>
      <c r="K773" s="454"/>
      <c r="L773" s="454"/>
    </row>
    <row r="774" spans="1:12" x14ac:dyDescent="0.3">
      <c r="A774" s="442">
        <f t="shared" si="12"/>
        <v>0</v>
      </c>
      <c r="B774" s="453"/>
      <c r="C774" s="454"/>
      <c r="D774" s="452"/>
      <c r="E774" s="454"/>
      <c r="F774" s="454"/>
      <c r="G774" s="454"/>
      <c r="H774" s="452"/>
      <c r="I774" s="454"/>
      <c r="J774" s="454"/>
      <c r="K774" s="454"/>
      <c r="L774" s="454"/>
    </row>
    <row r="775" spans="1:12" x14ac:dyDescent="0.3">
      <c r="A775" s="442">
        <f t="shared" si="12"/>
        <v>0</v>
      </c>
      <c r="B775" s="453"/>
      <c r="C775" s="454"/>
      <c r="D775" s="452"/>
      <c r="E775" s="454"/>
      <c r="F775" s="454"/>
      <c r="G775" s="454"/>
      <c r="H775" s="452"/>
      <c r="I775" s="454"/>
      <c r="J775" s="454"/>
      <c r="K775" s="454"/>
      <c r="L775" s="454"/>
    </row>
    <row r="776" spans="1:12" x14ac:dyDescent="0.3">
      <c r="A776" s="442">
        <f t="shared" si="12"/>
        <v>0</v>
      </c>
      <c r="B776" s="453"/>
      <c r="C776" s="454"/>
      <c r="D776" s="452"/>
      <c r="E776" s="454"/>
      <c r="F776" s="454"/>
      <c r="G776" s="454"/>
      <c r="H776" s="452"/>
      <c r="I776" s="454"/>
      <c r="J776" s="454"/>
      <c r="K776" s="454"/>
      <c r="L776" s="454"/>
    </row>
    <row r="777" spans="1:12" x14ac:dyDescent="0.3">
      <c r="A777" s="442">
        <f t="shared" si="12"/>
        <v>0</v>
      </c>
      <c r="B777" s="453"/>
      <c r="C777" s="454"/>
      <c r="D777" s="452"/>
      <c r="E777" s="454"/>
      <c r="F777" s="454"/>
      <c r="G777" s="454"/>
      <c r="H777" s="452"/>
      <c r="I777" s="454"/>
      <c r="J777" s="454"/>
      <c r="K777" s="454"/>
      <c r="L777" s="454"/>
    </row>
    <row r="778" spans="1:12" x14ac:dyDescent="0.3">
      <c r="A778" s="442">
        <f t="shared" si="12"/>
        <v>0</v>
      </c>
      <c r="B778" s="453"/>
      <c r="C778" s="454"/>
      <c r="D778" s="452"/>
      <c r="E778" s="454"/>
      <c r="F778" s="454"/>
      <c r="G778" s="454"/>
      <c r="H778" s="452"/>
      <c r="I778" s="454"/>
      <c r="J778" s="454"/>
      <c r="K778" s="454"/>
      <c r="L778" s="454"/>
    </row>
    <row r="779" spans="1:12" x14ac:dyDescent="0.3">
      <c r="A779" s="442">
        <f t="shared" si="12"/>
        <v>0</v>
      </c>
      <c r="B779" s="453"/>
      <c r="C779" s="454"/>
      <c r="D779" s="452"/>
      <c r="E779" s="454"/>
      <c r="F779" s="454"/>
      <c r="G779" s="454"/>
      <c r="H779" s="452"/>
      <c r="I779" s="454"/>
      <c r="J779" s="454"/>
      <c r="K779" s="454"/>
      <c r="L779" s="454"/>
    </row>
    <row r="780" spans="1:12" x14ac:dyDescent="0.3">
      <c r="A780" s="442">
        <f t="shared" si="12"/>
        <v>0</v>
      </c>
      <c r="B780" s="453"/>
      <c r="C780" s="454"/>
      <c r="D780" s="452"/>
      <c r="E780" s="454"/>
      <c r="F780" s="454"/>
      <c r="G780" s="454"/>
      <c r="H780" s="452"/>
      <c r="I780" s="454"/>
      <c r="J780" s="454"/>
      <c r="K780" s="454"/>
      <c r="L780" s="454"/>
    </row>
    <row r="781" spans="1:12" x14ac:dyDescent="0.3">
      <c r="A781" s="442">
        <f t="shared" si="12"/>
        <v>0</v>
      </c>
      <c r="B781" s="453"/>
      <c r="C781" s="454"/>
      <c r="D781" s="452"/>
      <c r="E781" s="454"/>
      <c r="F781" s="454"/>
      <c r="G781" s="454"/>
      <c r="H781" s="452"/>
      <c r="I781" s="454"/>
      <c r="J781" s="454"/>
      <c r="K781" s="454"/>
      <c r="L781" s="454"/>
    </row>
    <row r="782" spans="1:12" x14ac:dyDescent="0.3">
      <c r="A782" s="442">
        <f t="shared" si="12"/>
        <v>0</v>
      </c>
      <c r="B782" s="453"/>
      <c r="C782" s="454"/>
      <c r="D782" s="452"/>
      <c r="E782" s="454"/>
      <c r="F782" s="454"/>
      <c r="G782" s="454"/>
      <c r="H782" s="452"/>
      <c r="I782" s="454"/>
      <c r="J782" s="454"/>
      <c r="K782" s="454"/>
      <c r="L782" s="454"/>
    </row>
    <row r="783" spans="1:12" x14ac:dyDescent="0.3">
      <c r="A783" s="442">
        <f t="shared" si="12"/>
        <v>0</v>
      </c>
      <c r="B783" s="453"/>
      <c r="C783" s="454"/>
      <c r="D783" s="452"/>
      <c r="E783" s="454"/>
      <c r="F783" s="454"/>
      <c r="G783" s="454"/>
      <c r="H783" s="452"/>
      <c r="I783" s="454"/>
      <c r="J783" s="454"/>
      <c r="K783" s="454"/>
      <c r="L783" s="454"/>
    </row>
    <row r="784" spans="1:12" x14ac:dyDescent="0.3">
      <c r="A784" s="442">
        <f t="shared" si="12"/>
        <v>0</v>
      </c>
      <c r="B784" s="453"/>
      <c r="C784" s="454"/>
      <c r="D784" s="452"/>
      <c r="E784" s="454"/>
      <c r="F784" s="454"/>
      <c r="G784" s="454"/>
      <c r="H784" s="452"/>
      <c r="I784" s="454"/>
      <c r="J784" s="454"/>
      <c r="K784" s="454"/>
      <c r="L784" s="454"/>
    </row>
    <row r="785" spans="1:12" x14ac:dyDescent="0.3">
      <c r="A785" s="442">
        <f t="shared" si="12"/>
        <v>0</v>
      </c>
      <c r="B785" s="453"/>
      <c r="C785" s="454"/>
      <c r="D785" s="452"/>
      <c r="E785" s="454"/>
      <c r="F785" s="454"/>
      <c r="G785" s="454"/>
      <c r="H785" s="452"/>
      <c r="I785" s="454"/>
      <c r="J785" s="454"/>
      <c r="K785" s="454"/>
      <c r="L785" s="454"/>
    </row>
    <row r="786" spans="1:12" x14ac:dyDescent="0.3">
      <c r="A786" s="442">
        <f t="shared" si="12"/>
        <v>0</v>
      </c>
      <c r="B786" s="453"/>
      <c r="C786" s="454"/>
      <c r="D786" s="452"/>
      <c r="E786" s="454"/>
      <c r="F786" s="454"/>
      <c r="G786" s="454"/>
      <c r="H786" s="452"/>
      <c r="I786" s="454"/>
      <c r="J786" s="454"/>
      <c r="K786" s="454"/>
      <c r="L786" s="454"/>
    </row>
    <row r="787" spans="1:12" x14ac:dyDescent="0.3">
      <c r="A787" s="442">
        <f t="shared" si="12"/>
        <v>0</v>
      </c>
      <c r="B787" s="453"/>
      <c r="C787" s="454"/>
      <c r="D787" s="452"/>
      <c r="E787" s="454"/>
      <c r="F787" s="454"/>
      <c r="G787" s="454"/>
      <c r="H787" s="452"/>
      <c r="I787" s="454"/>
      <c r="J787" s="454"/>
      <c r="K787" s="454"/>
      <c r="L787" s="454"/>
    </row>
    <row r="788" spans="1:12" x14ac:dyDescent="0.3">
      <c r="A788" s="442">
        <f t="shared" si="12"/>
        <v>0</v>
      </c>
      <c r="B788" s="453"/>
      <c r="C788" s="454"/>
      <c r="D788" s="452"/>
      <c r="E788" s="454"/>
      <c r="F788" s="454"/>
      <c r="G788" s="454"/>
      <c r="H788" s="452"/>
      <c r="I788" s="454"/>
      <c r="J788" s="454"/>
      <c r="K788" s="454"/>
      <c r="L788" s="454"/>
    </row>
    <row r="789" spans="1:12" x14ac:dyDescent="0.3">
      <c r="A789" s="442">
        <f t="shared" si="12"/>
        <v>0</v>
      </c>
      <c r="B789" s="453"/>
      <c r="C789" s="454"/>
      <c r="D789" s="452"/>
      <c r="E789" s="454"/>
      <c r="F789" s="454"/>
      <c r="G789" s="454"/>
      <c r="H789" s="452"/>
      <c r="I789" s="454"/>
      <c r="J789" s="454"/>
      <c r="K789" s="454"/>
      <c r="L789" s="454"/>
    </row>
    <row r="790" spans="1:12" x14ac:dyDescent="0.3">
      <c r="A790" s="442">
        <f t="shared" si="12"/>
        <v>0</v>
      </c>
      <c r="B790" s="453"/>
      <c r="C790" s="454"/>
      <c r="D790" s="452"/>
      <c r="E790" s="454"/>
      <c r="F790" s="454"/>
      <c r="G790" s="454"/>
      <c r="H790" s="452"/>
      <c r="I790" s="454"/>
      <c r="J790" s="454"/>
      <c r="K790" s="454"/>
      <c r="L790" s="454"/>
    </row>
    <row r="791" spans="1:12" x14ac:dyDescent="0.3">
      <c r="A791" s="442">
        <f t="shared" si="12"/>
        <v>0</v>
      </c>
      <c r="B791" s="453"/>
      <c r="C791" s="454"/>
      <c r="D791" s="452"/>
      <c r="E791" s="454"/>
      <c r="F791" s="454"/>
      <c r="G791" s="454"/>
      <c r="H791" s="452"/>
      <c r="I791" s="454"/>
      <c r="J791" s="454"/>
      <c r="K791" s="454"/>
      <c r="L791" s="454"/>
    </row>
    <row r="792" spans="1:12" x14ac:dyDescent="0.3">
      <c r="A792" s="442">
        <f t="shared" si="12"/>
        <v>0</v>
      </c>
      <c r="B792" s="453"/>
      <c r="C792" s="454"/>
      <c r="D792" s="452"/>
      <c r="E792" s="454"/>
      <c r="F792" s="454"/>
      <c r="G792" s="454"/>
      <c r="H792" s="452"/>
      <c r="I792" s="454"/>
      <c r="J792" s="454"/>
      <c r="K792" s="454"/>
      <c r="L792" s="454"/>
    </row>
    <row r="793" spans="1:12" x14ac:dyDescent="0.3">
      <c r="A793" s="442">
        <f t="shared" si="12"/>
        <v>0</v>
      </c>
      <c r="B793" s="453"/>
      <c r="C793" s="454"/>
      <c r="D793" s="452"/>
      <c r="E793" s="454"/>
      <c r="F793" s="454"/>
      <c r="G793" s="454"/>
      <c r="H793" s="452"/>
      <c r="I793" s="454"/>
      <c r="J793" s="454"/>
      <c r="K793" s="454"/>
      <c r="L793" s="454"/>
    </row>
    <row r="794" spans="1:12" x14ac:dyDescent="0.3">
      <c r="A794" s="442">
        <f t="shared" si="12"/>
        <v>0</v>
      </c>
      <c r="B794" s="453"/>
      <c r="C794" s="454"/>
      <c r="D794" s="452"/>
      <c r="E794" s="454"/>
      <c r="F794" s="454"/>
      <c r="G794" s="454"/>
      <c r="H794" s="452"/>
      <c r="I794" s="454"/>
      <c r="J794" s="454"/>
      <c r="K794" s="454"/>
      <c r="L794" s="454"/>
    </row>
    <row r="795" spans="1:12" x14ac:dyDescent="0.3">
      <c r="A795" s="442">
        <f t="shared" si="12"/>
        <v>0</v>
      </c>
      <c r="B795" s="453"/>
      <c r="C795" s="454"/>
      <c r="D795" s="452"/>
      <c r="E795" s="454"/>
      <c r="F795" s="454"/>
      <c r="G795" s="454"/>
      <c r="H795" s="452"/>
      <c r="I795" s="454"/>
      <c r="J795" s="454"/>
      <c r="K795" s="454"/>
      <c r="L795" s="454"/>
    </row>
    <row r="796" spans="1:12" x14ac:dyDescent="0.3">
      <c r="A796" s="442">
        <f t="shared" si="12"/>
        <v>0</v>
      </c>
      <c r="B796" s="453"/>
      <c r="C796" s="454"/>
      <c r="D796" s="452"/>
      <c r="E796" s="454"/>
      <c r="F796" s="454"/>
      <c r="G796" s="454"/>
      <c r="H796" s="452"/>
      <c r="I796" s="454"/>
      <c r="J796" s="454"/>
      <c r="K796" s="454"/>
      <c r="L796" s="454"/>
    </row>
    <row r="797" spans="1:12" x14ac:dyDescent="0.3">
      <c r="A797" s="442">
        <f t="shared" si="12"/>
        <v>0</v>
      </c>
      <c r="B797" s="453"/>
      <c r="C797" s="454"/>
      <c r="D797" s="452"/>
      <c r="E797" s="454"/>
      <c r="F797" s="454"/>
      <c r="G797" s="454"/>
      <c r="H797" s="452"/>
      <c r="I797" s="454"/>
      <c r="J797" s="454"/>
      <c r="K797" s="454"/>
      <c r="L797" s="454"/>
    </row>
    <row r="798" spans="1:12" x14ac:dyDescent="0.3">
      <c r="A798" s="442">
        <f t="shared" si="12"/>
        <v>0</v>
      </c>
      <c r="B798" s="453"/>
      <c r="C798" s="454"/>
      <c r="D798" s="452"/>
      <c r="E798" s="454"/>
      <c r="F798" s="454"/>
      <c r="G798" s="454"/>
      <c r="H798" s="452"/>
      <c r="I798" s="454"/>
      <c r="J798" s="454"/>
      <c r="K798" s="454"/>
      <c r="L798" s="454"/>
    </row>
    <row r="799" spans="1:12" x14ac:dyDescent="0.3">
      <c r="A799" s="442">
        <f t="shared" si="12"/>
        <v>0</v>
      </c>
      <c r="B799" s="453"/>
      <c r="C799" s="454"/>
      <c r="D799" s="452"/>
      <c r="E799" s="454"/>
      <c r="F799" s="454"/>
      <c r="G799" s="454"/>
      <c r="H799" s="452"/>
      <c r="I799" s="454"/>
      <c r="J799" s="454"/>
      <c r="K799" s="454"/>
      <c r="L799" s="454"/>
    </row>
    <row r="800" spans="1:12" x14ac:dyDescent="0.3">
      <c r="A800" s="442">
        <f t="shared" si="12"/>
        <v>0</v>
      </c>
      <c r="B800" s="453"/>
      <c r="C800" s="454"/>
      <c r="D800" s="452"/>
      <c r="E800" s="454"/>
      <c r="F800" s="454"/>
      <c r="G800" s="454"/>
      <c r="H800" s="452"/>
      <c r="I800" s="454"/>
      <c r="J800" s="454"/>
      <c r="K800" s="454"/>
      <c r="L800" s="454"/>
    </row>
    <row r="801" spans="1:12" x14ac:dyDescent="0.3">
      <c r="A801" s="442">
        <f t="shared" si="12"/>
        <v>0</v>
      </c>
      <c r="B801" s="453"/>
      <c r="C801" s="454"/>
      <c r="D801" s="452"/>
      <c r="E801" s="454"/>
      <c r="F801" s="454"/>
      <c r="G801" s="454"/>
      <c r="H801" s="452"/>
      <c r="I801" s="454"/>
      <c r="J801" s="454"/>
      <c r="K801" s="454"/>
      <c r="L801" s="454"/>
    </row>
    <row r="802" spans="1:12" x14ac:dyDescent="0.3">
      <c r="A802" s="442">
        <f t="shared" si="12"/>
        <v>0</v>
      </c>
      <c r="B802" s="453"/>
      <c r="C802" s="454"/>
      <c r="D802" s="452"/>
      <c r="E802" s="454"/>
      <c r="F802" s="454"/>
      <c r="G802" s="454"/>
      <c r="H802" s="452"/>
      <c r="I802" s="454"/>
      <c r="J802" s="454"/>
      <c r="K802" s="454"/>
      <c r="L802" s="454"/>
    </row>
    <row r="803" spans="1:12" x14ac:dyDescent="0.3">
      <c r="A803" s="442">
        <f t="shared" si="12"/>
        <v>0</v>
      </c>
      <c r="B803" s="453"/>
      <c r="C803" s="454"/>
      <c r="D803" s="452"/>
      <c r="E803" s="454"/>
      <c r="F803" s="454"/>
      <c r="G803" s="454"/>
      <c r="H803" s="452"/>
      <c r="I803" s="454"/>
      <c r="J803" s="454"/>
      <c r="K803" s="454"/>
      <c r="L803" s="454"/>
    </row>
    <row r="804" spans="1:12" x14ac:dyDescent="0.3">
      <c r="A804" s="442">
        <f t="shared" si="12"/>
        <v>0</v>
      </c>
      <c r="B804" s="453"/>
      <c r="C804" s="454"/>
      <c r="D804" s="452"/>
      <c r="E804" s="454"/>
      <c r="F804" s="454"/>
      <c r="G804" s="454"/>
      <c r="H804" s="452"/>
      <c r="I804" s="454"/>
      <c r="J804" s="454"/>
      <c r="K804" s="454"/>
      <c r="L804" s="454"/>
    </row>
    <row r="805" spans="1:12" x14ac:dyDescent="0.3">
      <c r="A805" s="442">
        <f t="shared" si="12"/>
        <v>0</v>
      </c>
      <c r="B805" s="453"/>
      <c r="C805" s="454"/>
      <c r="D805" s="452"/>
      <c r="E805" s="454"/>
      <c r="F805" s="454"/>
      <c r="G805" s="454"/>
      <c r="H805" s="452"/>
      <c r="I805" s="454"/>
      <c r="J805" s="454"/>
      <c r="K805" s="454"/>
      <c r="L805" s="454"/>
    </row>
    <row r="806" spans="1:12" x14ac:dyDescent="0.3">
      <c r="A806" s="442">
        <f t="shared" si="12"/>
        <v>0</v>
      </c>
      <c r="B806" s="453"/>
      <c r="C806" s="454"/>
      <c r="D806" s="452"/>
      <c r="E806" s="454"/>
      <c r="F806" s="454"/>
      <c r="G806" s="454"/>
      <c r="H806" s="452"/>
      <c r="I806" s="454"/>
      <c r="J806" s="454"/>
      <c r="K806" s="454"/>
      <c r="L806" s="454"/>
    </row>
    <row r="807" spans="1:12" x14ac:dyDescent="0.3">
      <c r="A807" s="442">
        <f t="shared" si="12"/>
        <v>0</v>
      </c>
      <c r="B807" s="453"/>
      <c r="C807" s="454"/>
      <c r="D807" s="452"/>
      <c r="E807" s="454"/>
      <c r="F807" s="454"/>
      <c r="G807" s="454"/>
      <c r="H807" s="452"/>
      <c r="I807" s="454"/>
      <c r="J807" s="454"/>
      <c r="K807" s="454"/>
      <c r="L807" s="454"/>
    </row>
    <row r="808" spans="1:12" x14ac:dyDescent="0.3">
      <c r="A808" s="442">
        <f t="shared" si="12"/>
        <v>0</v>
      </c>
      <c r="B808" s="453"/>
      <c r="C808" s="454"/>
      <c r="D808" s="452"/>
      <c r="E808" s="454"/>
      <c r="F808" s="454"/>
      <c r="G808" s="454"/>
      <c r="H808" s="452"/>
      <c r="I808" s="454"/>
      <c r="J808" s="454"/>
      <c r="K808" s="454"/>
      <c r="L808" s="454"/>
    </row>
    <row r="809" spans="1:12" x14ac:dyDescent="0.3">
      <c r="A809" s="442">
        <f t="shared" si="12"/>
        <v>0</v>
      </c>
      <c r="B809" s="453"/>
      <c r="C809" s="454"/>
      <c r="D809" s="452"/>
      <c r="E809" s="454"/>
      <c r="F809" s="454"/>
      <c r="G809" s="454"/>
      <c r="H809" s="452"/>
      <c r="I809" s="454"/>
      <c r="J809" s="454"/>
      <c r="K809" s="454"/>
      <c r="L809" s="454"/>
    </row>
    <row r="810" spans="1:12" x14ac:dyDescent="0.3">
      <c r="A810" s="442">
        <f t="shared" si="12"/>
        <v>0</v>
      </c>
      <c r="B810" s="453"/>
      <c r="C810" s="454"/>
      <c r="D810" s="452"/>
      <c r="E810" s="454"/>
      <c r="F810" s="454"/>
      <c r="G810" s="454"/>
      <c r="H810" s="452"/>
      <c r="I810" s="454"/>
      <c r="J810" s="454"/>
      <c r="K810" s="454"/>
      <c r="L810" s="454"/>
    </row>
    <row r="811" spans="1:12" x14ac:dyDescent="0.3">
      <c r="A811" s="442">
        <f t="shared" si="12"/>
        <v>0</v>
      </c>
      <c r="B811" s="453"/>
      <c r="C811" s="454"/>
      <c r="D811" s="452"/>
      <c r="E811" s="454"/>
      <c r="F811" s="454"/>
      <c r="G811" s="454"/>
      <c r="H811" s="452"/>
      <c r="I811" s="454"/>
      <c r="J811" s="454"/>
      <c r="K811" s="454"/>
      <c r="L811" s="454"/>
    </row>
    <row r="812" spans="1:12" x14ac:dyDescent="0.3">
      <c r="A812" s="442">
        <f t="shared" si="12"/>
        <v>0</v>
      </c>
      <c r="B812" s="453"/>
      <c r="C812" s="454"/>
      <c r="D812" s="452"/>
      <c r="E812" s="454"/>
      <c r="F812" s="454"/>
      <c r="G812" s="454"/>
      <c r="H812" s="452"/>
      <c r="I812" s="454"/>
      <c r="J812" s="454"/>
      <c r="K812" s="454"/>
      <c r="L812" s="454"/>
    </row>
    <row r="813" spans="1:12" x14ac:dyDescent="0.3">
      <c r="A813" s="442">
        <f t="shared" si="12"/>
        <v>0</v>
      </c>
      <c r="B813" s="453"/>
      <c r="C813" s="454"/>
      <c r="D813" s="452"/>
      <c r="E813" s="454"/>
      <c r="F813" s="454"/>
      <c r="G813" s="454"/>
      <c r="H813" s="452"/>
      <c r="I813" s="454"/>
      <c r="J813" s="454"/>
      <c r="K813" s="454"/>
      <c r="L813" s="454"/>
    </row>
    <row r="814" spans="1:12" x14ac:dyDescent="0.3">
      <c r="A814" s="442">
        <f t="shared" si="12"/>
        <v>0</v>
      </c>
      <c r="B814" s="453"/>
      <c r="C814" s="454"/>
      <c r="D814" s="452"/>
      <c r="E814" s="454"/>
      <c r="F814" s="454"/>
      <c r="G814" s="454"/>
      <c r="H814" s="452"/>
      <c r="I814" s="454"/>
      <c r="J814" s="454"/>
      <c r="K814" s="454"/>
      <c r="L814" s="454"/>
    </row>
    <row r="815" spans="1:12" x14ac:dyDescent="0.3">
      <c r="A815" s="442">
        <f t="shared" si="12"/>
        <v>0</v>
      </c>
      <c r="B815" s="453"/>
      <c r="C815" s="454"/>
      <c r="D815" s="452"/>
      <c r="E815" s="454"/>
      <c r="F815" s="454"/>
      <c r="G815" s="454"/>
      <c r="H815" s="452"/>
      <c r="I815" s="454"/>
      <c r="J815" s="454"/>
      <c r="K815" s="454"/>
      <c r="L815" s="454"/>
    </row>
    <row r="816" spans="1:12" x14ac:dyDescent="0.3">
      <c r="A816" s="442">
        <f t="shared" si="12"/>
        <v>0</v>
      </c>
      <c r="B816" s="453"/>
      <c r="C816" s="454"/>
      <c r="D816" s="452"/>
      <c r="E816" s="454"/>
      <c r="F816" s="454"/>
      <c r="G816" s="454"/>
      <c r="H816" s="452"/>
      <c r="I816" s="454"/>
      <c r="J816" s="454"/>
      <c r="K816" s="454"/>
      <c r="L816" s="454"/>
    </row>
    <row r="817" spans="1:12" x14ac:dyDescent="0.3">
      <c r="A817" s="442">
        <f t="shared" si="12"/>
        <v>0</v>
      </c>
      <c r="B817" s="453"/>
      <c r="C817" s="454"/>
      <c r="D817" s="452"/>
      <c r="E817" s="454"/>
      <c r="F817" s="454"/>
      <c r="G817" s="454"/>
      <c r="H817" s="452"/>
      <c r="I817" s="454"/>
      <c r="J817" s="454"/>
      <c r="K817" s="454"/>
      <c r="L817" s="454"/>
    </row>
    <row r="818" spans="1:12" x14ac:dyDescent="0.3">
      <c r="A818" s="442">
        <f t="shared" si="12"/>
        <v>0</v>
      </c>
      <c r="B818" s="453"/>
      <c r="C818" s="454"/>
      <c r="D818" s="452"/>
      <c r="E818" s="454"/>
      <c r="F818" s="454"/>
      <c r="G818" s="454"/>
      <c r="H818" s="452"/>
      <c r="I818" s="454"/>
      <c r="J818" s="454"/>
      <c r="K818" s="454"/>
      <c r="L818" s="454"/>
    </row>
    <row r="819" spans="1:12" x14ac:dyDescent="0.3">
      <c r="A819" s="442">
        <f t="shared" si="12"/>
        <v>0</v>
      </c>
      <c r="B819" s="453"/>
      <c r="C819" s="454"/>
      <c r="D819" s="452"/>
      <c r="E819" s="454"/>
      <c r="F819" s="454"/>
      <c r="G819" s="454"/>
      <c r="H819" s="452"/>
      <c r="I819" s="454"/>
      <c r="J819" s="454"/>
      <c r="K819" s="454"/>
      <c r="L819" s="454"/>
    </row>
    <row r="820" spans="1:12" x14ac:dyDescent="0.3">
      <c r="A820" s="442">
        <f t="shared" si="12"/>
        <v>0</v>
      </c>
      <c r="B820" s="453"/>
      <c r="C820" s="454"/>
      <c r="D820" s="452"/>
      <c r="E820" s="454"/>
      <c r="F820" s="454"/>
      <c r="G820" s="454"/>
      <c r="H820" s="452"/>
      <c r="I820" s="454"/>
      <c r="J820" s="454"/>
      <c r="K820" s="454"/>
      <c r="L820" s="454"/>
    </row>
    <row r="821" spans="1:12" x14ac:dyDescent="0.3">
      <c r="A821" s="442">
        <f t="shared" ref="A821:A884" si="13">IF(D821="",0,SUBSTITUTE(LOWER(D821),"km","")+0)</f>
        <v>0</v>
      </c>
      <c r="B821" s="453"/>
      <c r="C821" s="454"/>
      <c r="D821" s="452"/>
      <c r="E821" s="454"/>
      <c r="F821" s="454"/>
      <c r="G821" s="454"/>
      <c r="H821" s="452"/>
      <c r="I821" s="454"/>
      <c r="J821" s="454"/>
      <c r="K821" s="454"/>
      <c r="L821" s="454"/>
    </row>
    <row r="822" spans="1:12" x14ac:dyDescent="0.3">
      <c r="A822" s="442">
        <f t="shared" si="13"/>
        <v>0</v>
      </c>
      <c r="B822" s="453"/>
      <c r="C822" s="454"/>
      <c r="D822" s="452"/>
      <c r="E822" s="454"/>
      <c r="F822" s="454"/>
      <c r="G822" s="454"/>
      <c r="H822" s="452"/>
      <c r="I822" s="454"/>
      <c r="J822" s="454"/>
      <c r="K822" s="454"/>
      <c r="L822" s="454"/>
    </row>
    <row r="823" spans="1:12" x14ac:dyDescent="0.3">
      <c r="A823" s="442">
        <f t="shared" si="13"/>
        <v>0</v>
      </c>
      <c r="B823" s="453"/>
      <c r="C823" s="454"/>
      <c r="D823" s="452"/>
      <c r="E823" s="454"/>
      <c r="F823" s="454"/>
      <c r="G823" s="454"/>
      <c r="H823" s="452"/>
      <c r="I823" s="454"/>
      <c r="J823" s="454"/>
      <c r="K823" s="454"/>
      <c r="L823" s="454"/>
    </row>
    <row r="824" spans="1:12" x14ac:dyDescent="0.3">
      <c r="A824" s="442">
        <f t="shared" si="13"/>
        <v>0</v>
      </c>
      <c r="B824" s="453"/>
      <c r="C824" s="454"/>
      <c r="D824" s="452"/>
      <c r="E824" s="454"/>
      <c r="F824" s="454"/>
      <c r="G824" s="454"/>
      <c r="H824" s="452"/>
      <c r="I824" s="454"/>
      <c r="J824" s="454"/>
      <c r="K824" s="454"/>
      <c r="L824" s="454"/>
    </row>
    <row r="825" spans="1:12" x14ac:dyDescent="0.3">
      <c r="A825" s="442">
        <f t="shared" si="13"/>
        <v>0</v>
      </c>
      <c r="B825" s="453"/>
      <c r="C825" s="454"/>
      <c r="D825" s="452"/>
      <c r="E825" s="454"/>
      <c r="F825" s="454"/>
      <c r="G825" s="454"/>
      <c r="H825" s="452"/>
      <c r="I825" s="454"/>
      <c r="J825" s="454"/>
      <c r="K825" s="454"/>
      <c r="L825" s="454"/>
    </row>
    <row r="826" spans="1:12" x14ac:dyDescent="0.3">
      <c r="A826" s="442">
        <f t="shared" si="13"/>
        <v>0</v>
      </c>
      <c r="B826" s="453"/>
      <c r="C826" s="454"/>
      <c r="D826" s="452"/>
      <c r="E826" s="454"/>
      <c r="F826" s="454"/>
      <c r="G826" s="454"/>
      <c r="H826" s="452"/>
      <c r="I826" s="454"/>
      <c r="J826" s="454"/>
      <c r="K826" s="454"/>
      <c r="L826" s="454"/>
    </row>
    <row r="827" spans="1:12" x14ac:dyDescent="0.3">
      <c r="A827" s="442">
        <f t="shared" si="13"/>
        <v>0</v>
      </c>
      <c r="B827" s="453"/>
      <c r="C827" s="454"/>
      <c r="D827" s="452"/>
      <c r="E827" s="454"/>
      <c r="F827" s="454"/>
      <c r="G827" s="454"/>
      <c r="H827" s="452"/>
      <c r="I827" s="454"/>
      <c r="J827" s="454"/>
      <c r="K827" s="454"/>
      <c r="L827" s="454"/>
    </row>
    <row r="828" spans="1:12" x14ac:dyDescent="0.3">
      <c r="A828" s="442">
        <f t="shared" si="13"/>
        <v>0</v>
      </c>
      <c r="B828" s="453"/>
      <c r="C828" s="454"/>
      <c r="D828" s="452"/>
      <c r="E828" s="454"/>
      <c r="F828" s="454"/>
      <c r="G828" s="454"/>
      <c r="H828" s="452"/>
      <c r="I828" s="454"/>
      <c r="J828" s="454"/>
      <c r="K828" s="454"/>
      <c r="L828" s="454"/>
    </row>
    <row r="829" spans="1:12" x14ac:dyDescent="0.3">
      <c r="A829" s="442">
        <f t="shared" si="13"/>
        <v>0</v>
      </c>
      <c r="B829" s="453"/>
      <c r="C829" s="454"/>
      <c r="D829" s="452"/>
      <c r="E829" s="454"/>
      <c r="F829" s="454"/>
      <c r="G829" s="454"/>
      <c r="H829" s="452"/>
      <c r="I829" s="454"/>
      <c r="J829" s="454"/>
      <c r="K829" s="454"/>
      <c r="L829" s="454"/>
    </row>
    <row r="830" spans="1:12" x14ac:dyDescent="0.3">
      <c r="A830" s="442">
        <f t="shared" si="13"/>
        <v>0</v>
      </c>
      <c r="B830" s="453"/>
      <c r="C830" s="454"/>
      <c r="D830" s="452"/>
      <c r="E830" s="454"/>
      <c r="F830" s="454"/>
      <c r="G830" s="454"/>
      <c r="H830" s="452"/>
      <c r="I830" s="454"/>
      <c r="J830" s="454"/>
      <c r="K830" s="454"/>
      <c r="L830" s="454"/>
    </row>
    <row r="831" spans="1:12" x14ac:dyDescent="0.3">
      <c r="A831" s="442">
        <f t="shared" si="13"/>
        <v>0</v>
      </c>
      <c r="B831" s="453"/>
      <c r="C831" s="454"/>
      <c r="D831" s="452"/>
      <c r="E831" s="454"/>
      <c r="F831" s="454"/>
      <c r="G831" s="454"/>
      <c r="H831" s="452"/>
      <c r="I831" s="454"/>
      <c r="J831" s="454"/>
      <c r="K831" s="454"/>
      <c r="L831" s="454"/>
    </row>
    <row r="832" spans="1:12" x14ac:dyDescent="0.3">
      <c r="A832" s="442">
        <f t="shared" si="13"/>
        <v>0</v>
      </c>
      <c r="B832" s="453"/>
      <c r="C832" s="454"/>
      <c r="D832" s="452"/>
      <c r="E832" s="454"/>
      <c r="F832" s="454"/>
      <c r="G832" s="454"/>
      <c r="H832" s="452"/>
      <c r="I832" s="454"/>
      <c r="J832" s="454"/>
      <c r="K832" s="454"/>
      <c r="L832" s="454"/>
    </row>
    <row r="833" spans="1:12" x14ac:dyDescent="0.3">
      <c r="A833" s="442">
        <f t="shared" si="13"/>
        <v>0</v>
      </c>
      <c r="B833" s="453"/>
      <c r="C833" s="454"/>
      <c r="D833" s="452"/>
      <c r="E833" s="454"/>
      <c r="F833" s="454"/>
      <c r="G833" s="454"/>
      <c r="H833" s="452"/>
      <c r="I833" s="454"/>
      <c r="J833" s="454"/>
      <c r="K833" s="454"/>
      <c r="L833" s="454"/>
    </row>
    <row r="834" spans="1:12" x14ac:dyDescent="0.3">
      <c r="A834" s="442">
        <f t="shared" si="13"/>
        <v>0</v>
      </c>
      <c r="B834" s="453"/>
      <c r="C834" s="454"/>
      <c r="D834" s="452"/>
      <c r="E834" s="454"/>
      <c r="F834" s="454"/>
      <c r="G834" s="454"/>
      <c r="H834" s="452"/>
      <c r="I834" s="454"/>
      <c r="J834" s="454"/>
      <c r="K834" s="454"/>
      <c r="L834" s="454"/>
    </row>
    <row r="835" spans="1:12" x14ac:dyDescent="0.3">
      <c r="A835" s="442">
        <f t="shared" si="13"/>
        <v>0</v>
      </c>
      <c r="B835" s="453"/>
      <c r="C835" s="454"/>
      <c r="D835" s="452"/>
      <c r="E835" s="454"/>
      <c r="F835" s="454"/>
      <c r="G835" s="454"/>
      <c r="H835" s="452"/>
      <c r="I835" s="454"/>
      <c r="J835" s="454"/>
      <c r="K835" s="454"/>
      <c r="L835" s="454"/>
    </row>
    <row r="836" spans="1:12" x14ac:dyDescent="0.3">
      <c r="A836" s="442">
        <f t="shared" si="13"/>
        <v>0</v>
      </c>
      <c r="B836" s="453"/>
      <c r="C836" s="454"/>
      <c r="D836" s="452"/>
      <c r="E836" s="454"/>
      <c r="F836" s="454"/>
      <c r="G836" s="454"/>
      <c r="H836" s="452"/>
      <c r="I836" s="454"/>
      <c r="J836" s="454"/>
      <c r="K836" s="454"/>
      <c r="L836" s="454"/>
    </row>
    <row r="837" spans="1:12" x14ac:dyDescent="0.3">
      <c r="A837" s="442">
        <f t="shared" si="13"/>
        <v>0</v>
      </c>
      <c r="B837" s="453"/>
      <c r="C837" s="454"/>
      <c r="D837" s="452"/>
      <c r="E837" s="454"/>
      <c r="F837" s="454"/>
      <c r="G837" s="454"/>
      <c r="H837" s="452"/>
      <c r="I837" s="454"/>
      <c r="J837" s="454"/>
      <c r="K837" s="454"/>
      <c r="L837" s="454"/>
    </row>
    <row r="838" spans="1:12" x14ac:dyDescent="0.3">
      <c r="A838" s="442">
        <f t="shared" si="13"/>
        <v>0</v>
      </c>
      <c r="B838" s="453"/>
      <c r="C838" s="454"/>
      <c r="D838" s="452"/>
      <c r="E838" s="454"/>
      <c r="F838" s="454"/>
      <c r="G838" s="454"/>
      <c r="H838" s="452"/>
      <c r="I838" s="454"/>
      <c r="J838" s="454"/>
      <c r="K838" s="454"/>
      <c r="L838" s="454"/>
    </row>
    <row r="839" spans="1:12" x14ac:dyDescent="0.3">
      <c r="A839" s="442">
        <f t="shared" si="13"/>
        <v>0</v>
      </c>
      <c r="B839" s="453"/>
      <c r="C839" s="454"/>
      <c r="D839" s="452"/>
      <c r="E839" s="454"/>
      <c r="F839" s="454"/>
      <c r="G839" s="454"/>
      <c r="H839" s="452"/>
      <c r="I839" s="454"/>
      <c r="J839" s="454"/>
      <c r="K839" s="454"/>
      <c r="L839" s="454"/>
    </row>
    <row r="840" spans="1:12" x14ac:dyDescent="0.3">
      <c r="A840" s="442">
        <f t="shared" si="13"/>
        <v>0</v>
      </c>
      <c r="B840" s="453"/>
      <c r="C840" s="454"/>
      <c r="D840" s="452"/>
      <c r="E840" s="454"/>
      <c r="F840" s="454"/>
      <c r="G840" s="454"/>
      <c r="H840" s="452"/>
      <c r="I840" s="454"/>
      <c r="J840" s="454"/>
      <c r="K840" s="454"/>
      <c r="L840" s="454"/>
    </row>
    <row r="841" spans="1:12" x14ac:dyDescent="0.3">
      <c r="A841" s="442">
        <f t="shared" si="13"/>
        <v>0</v>
      </c>
      <c r="B841" s="453"/>
      <c r="C841" s="454"/>
      <c r="D841" s="452"/>
      <c r="E841" s="454"/>
      <c r="F841" s="454"/>
      <c r="G841" s="454"/>
      <c r="H841" s="452"/>
      <c r="I841" s="454"/>
      <c r="J841" s="454"/>
      <c r="K841" s="454"/>
      <c r="L841" s="454"/>
    </row>
    <row r="842" spans="1:12" x14ac:dyDescent="0.3">
      <c r="A842" s="442">
        <f t="shared" si="13"/>
        <v>0</v>
      </c>
      <c r="B842" s="453"/>
      <c r="C842" s="454"/>
      <c r="D842" s="452"/>
      <c r="E842" s="454"/>
      <c r="F842" s="454"/>
      <c r="G842" s="454"/>
      <c r="H842" s="452"/>
      <c r="I842" s="454"/>
      <c r="J842" s="454"/>
      <c r="K842" s="454"/>
      <c r="L842" s="454"/>
    </row>
    <row r="843" spans="1:12" x14ac:dyDescent="0.3">
      <c r="A843" s="442">
        <f t="shared" si="13"/>
        <v>0</v>
      </c>
      <c r="B843" s="453"/>
      <c r="C843" s="454"/>
      <c r="D843" s="452"/>
      <c r="E843" s="454"/>
      <c r="F843" s="454"/>
      <c r="G843" s="454"/>
      <c r="H843" s="452"/>
      <c r="I843" s="454"/>
      <c r="J843" s="454"/>
      <c r="K843" s="454"/>
      <c r="L843" s="454"/>
    </row>
    <row r="844" spans="1:12" x14ac:dyDescent="0.3">
      <c r="A844" s="442">
        <f t="shared" si="13"/>
        <v>0</v>
      </c>
      <c r="B844" s="453"/>
      <c r="C844" s="454"/>
      <c r="D844" s="452"/>
      <c r="E844" s="454"/>
      <c r="F844" s="454"/>
      <c r="G844" s="454"/>
      <c r="H844" s="452"/>
      <c r="I844" s="454"/>
      <c r="J844" s="454"/>
      <c r="K844" s="454"/>
      <c r="L844" s="454"/>
    </row>
    <row r="845" spans="1:12" x14ac:dyDescent="0.3">
      <c r="A845" s="442">
        <f t="shared" si="13"/>
        <v>0</v>
      </c>
      <c r="B845" s="453"/>
      <c r="C845" s="454"/>
      <c r="D845" s="452"/>
      <c r="E845" s="454"/>
      <c r="F845" s="454"/>
      <c r="G845" s="454"/>
      <c r="H845" s="452"/>
      <c r="I845" s="454"/>
      <c r="J845" s="454"/>
      <c r="K845" s="454"/>
      <c r="L845" s="454"/>
    </row>
    <row r="846" spans="1:12" x14ac:dyDescent="0.3">
      <c r="A846" s="442">
        <f t="shared" si="13"/>
        <v>0</v>
      </c>
      <c r="B846" s="453"/>
      <c r="C846" s="454"/>
      <c r="D846" s="452"/>
      <c r="E846" s="454"/>
      <c r="F846" s="454"/>
      <c r="G846" s="454"/>
      <c r="H846" s="452"/>
      <c r="I846" s="454"/>
      <c r="J846" s="454"/>
      <c r="K846" s="454"/>
      <c r="L846" s="454"/>
    </row>
    <row r="847" spans="1:12" x14ac:dyDescent="0.3">
      <c r="A847" s="442">
        <f t="shared" si="13"/>
        <v>0</v>
      </c>
      <c r="B847" s="453"/>
      <c r="C847" s="454"/>
      <c r="D847" s="452"/>
      <c r="E847" s="454"/>
      <c r="F847" s="454"/>
      <c r="G847" s="454"/>
      <c r="H847" s="452"/>
      <c r="I847" s="454"/>
      <c r="J847" s="454"/>
      <c r="K847" s="454"/>
      <c r="L847" s="454"/>
    </row>
    <row r="848" spans="1:12" x14ac:dyDescent="0.3">
      <c r="A848" s="442">
        <f t="shared" si="13"/>
        <v>0</v>
      </c>
      <c r="B848" s="453"/>
      <c r="C848" s="454"/>
      <c r="D848" s="452"/>
      <c r="E848" s="454"/>
      <c r="F848" s="454"/>
      <c r="G848" s="454"/>
      <c r="H848" s="452"/>
      <c r="I848" s="454"/>
      <c r="J848" s="454"/>
      <c r="K848" s="454"/>
      <c r="L848" s="454"/>
    </row>
    <row r="849" spans="1:12" x14ac:dyDescent="0.3">
      <c r="A849" s="442">
        <f t="shared" si="13"/>
        <v>0</v>
      </c>
      <c r="B849" s="453"/>
      <c r="C849" s="454"/>
      <c r="D849" s="452"/>
      <c r="E849" s="454"/>
      <c r="F849" s="454"/>
      <c r="G849" s="454"/>
      <c r="H849" s="452"/>
      <c r="I849" s="454"/>
      <c r="J849" s="454"/>
      <c r="K849" s="454"/>
      <c r="L849" s="454"/>
    </row>
    <row r="850" spans="1:12" x14ac:dyDescent="0.3">
      <c r="A850" s="442">
        <f t="shared" si="13"/>
        <v>0</v>
      </c>
      <c r="B850" s="453"/>
      <c r="C850" s="454"/>
      <c r="D850" s="452"/>
      <c r="E850" s="454"/>
      <c r="F850" s="454"/>
      <c r="G850" s="454"/>
      <c r="H850" s="452"/>
      <c r="I850" s="454"/>
      <c r="J850" s="454"/>
      <c r="K850" s="454"/>
      <c r="L850" s="454"/>
    </row>
    <row r="851" spans="1:12" x14ac:dyDescent="0.3">
      <c r="A851" s="442">
        <f t="shared" si="13"/>
        <v>0</v>
      </c>
      <c r="B851" s="453"/>
      <c r="C851" s="454"/>
      <c r="D851" s="452"/>
      <c r="E851" s="454"/>
      <c r="F851" s="454"/>
      <c r="G851" s="454"/>
      <c r="H851" s="452"/>
      <c r="I851" s="454"/>
      <c r="J851" s="454"/>
      <c r="K851" s="454"/>
      <c r="L851" s="454"/>
    </row>
    <row r="852" spans="1:12" x14ac:dyDescent="0.3">
      <c r="A852" s="442">
        <f t="shared" si="13"/>
        <v>0</v>
      </c>
      <c r="B852" s="453"/>
      <c r="C852" s="454"/>
      <c r="D852" s="452"/>
      <c r="E852" s="454"/>
      <c r="F852" s="454"/>
      <c r="G852" s="454"/>
      <c r="H852" s="452"/>
      <c r="I852" s="454"/>
      <c r="J852" s="454"/>
      <c r="K852" s="454"/>
      <c r="L852" s="454"/>
    </row>
    <row r="853" spans="1:12" x14ac:dyDescent="0.3">
      <c r="A853" s="442">
        <f t="shared" si="13"/>
        <v>0</v>
      </c>
      <c r="B853" s="453"/>
      <c r="C853" s="454"/>
      <c r="D853" s="452"/>
      <c r="E853" s="454"/>
      <c r="F853" s="454"/>
      <c r="G853" s="454"/>
      <c r="H853" s="452"/>
      <c r="I853" s="454"/>
      <c r="J853" s="454"/>
      <c r="K853" s="454"/>
      <c r="L853" s="454"/>
    </row>
    <row r="854" spans="1:12" x14ac:dyDescent="0.3">
      <c r="A854" s="442">
        <f t="shared" si="13"/>
        <v>0</v>
      </c>
      <c r="B854" s="453"/>
      <c r="C854" s="454"/>
      <c r="D854" s="452"/>
      <c r="E854" s="454"/>
      <c r="F854" s="454"/>
      <c r="G854" s="454"/>
      <c r="H854" s="452"/>
      <c r="I854" s="454"/>
      <c r="J854" s="454"/>
      <c r="K854" s="454"/>
      <c r="L854" s="454"/>
    </row>
    <row r="855" spans="1:12" x14ac:dyDescent="0.3">
      <c r="A855" s="442">
        <f t="shared" si="13"/>
        <v>0</v>
      </c>
      <c r="B855" s="453"/>
      <c r="C855" s="454"/>
      <c r="D855" s="452"/>
      <c r="E855" s="454"/>
      <c r="F855" s="454"/>
      <c r="G855" s="454"/>
      <c r="H855" s="452"/>
      <c r="I855" s="454"/>
      <c r="J855" s="454"/>
      <c r="K855" s="454"/>
      <c r="L855" s="454"/>
    </row>
    <row r="856" spans="1:12" x14ac:dyDescent="0.3">
      <c r="A856" s="442">
        <f t="shared" si="13"/>
        <v>0</v>
      </c>
      <c r="B856" s="453"/>
      <c r="C856" s="454"/>
      <c r="D856" s="452"/>
      <c r="E856" s="454"/>
      <c r="F856" s="454"/>
      <c r="G856" s="454"/>
      <c r="H856" s="452"/>
      <c r="I856" s="454"/>
      <c r="J856" s="454"/>
      <c r="K856" s="454"/>
      <c r="L856" s="454"/>
    </row>
    <row r="857" spans="1:12" x14ac:dyDescent="0.3">
      <c r="A857" s="442">
        <f t="shared" si="13"/>
        <v>0</v>
      </c>
      <c r="B857" s="453"/>
      <c r="C857" s="454"/>
      <c r="D857" s="452"/>
      <c r="E857" s="454"/>
      <c r="F857" s="454"/>
      <c r="G857" s="454"/>
      <c r="H857" s="452"/>
      <c r="I857" s="454"/>
      <c r="J857" s="454"/>
      <c r="K857" s="454"/>
      <c r="L857" s="454"/>
    </row>
    <row r="858" spans="1:12" x14ac:dyDescent="0.3">
      <c r="A858" s="442">
        <f t="shared" si="13"/>
        <v>0</v>
      </c>
      <c r="B858" s="453"/>
      <c r="C858" s="454"/>
      <c r="D858" s="452"/>
      <c r="E858" s="454"/>
      <c r="F858" s="454"/>
      <c r="G858" s="454"/>
      <c r="H858" s="452"/>
      <c r="I858" s="454"/>
      <c r="J858" s="454"/>
      <c r="K858" s="454"/>
      <c r="L858" s="454"/>
    </row>
    <row r="859" spans="1:12" x14ac:dyDescent="0.3">
      <c r="A859" s="442">
        <f t="shared" si="13"/>
        <v>0</v>
      </c>
      <c r="B859" s="453"/>
      <c r="C859" s="454"/>
      <c r="D859" s="452"/>
      <c r="E859" s="454"/>
      <c r="F859" s="454"/>
      <c r="G859" s="454"/>
      <c r="H859" s="452"/>
      <c r="I859" s="454"/>
      <c r="J859" s="454"/>
      <c r="K859" s="454"/>
      <c r="L859" s="454"/>
    </row>
    <row r="860" spans="1:12" x14ac:dyDescent="0.3">
      <c r="A860" s="442">
        <f t="shared" si="13"/>
        <v>0</v>
      </c>
      <c r="B860" s="453"/>
      <c r="C860" s="454"/>
      <c r="D860" s="452"/>
      <c r="E860" s="454"/>
      <c r="F860" s="454"/>
      <c r="G860" s="454"/>
      <c r="H860" s="452"/>
      <c r="I860" s="454"/>
      <c r="J860" s="454"/>
      <c r="K860" s="454"/>
      <c r="L860" s="454"/>
    </row>
    <row r="861" spans="1:12" x14ac:dyDescent="0.3">
      <c r="A861" s="442">
        <f t="shared" si="13"/>
        <v>0</v>
      </c>
      <c r="B861" s="453"/>
      <c r="C861" s="454"/>
      <c r="D861" s="452"/>
      <c r="E861" s="454"/>
      <c r="F861" s="454"/>
      <c r="G861" s="454"/>
      <c r="H861" s="452"/>
      <c r="I861" s="454"/>
      <c r="J861" s="454"/>
      <c r="K861" s="454"/>
      <c r="L861" s="454"/>
    </row>
    <row r="862" spans="1:12" x14ac:dyDescent="0.3">
      <c r="A862" s="442">
        <f t="shared" si="13"/>
        <v>0</v>
      </c>
      <c r="B862" s="453"/>
      <c r="C862" s="454"/>
      <c r="D862" s="452"/>
      <c r="E862" s="454"/>
      <c r="F862" s="454"/>
      <c r="G862" s="454"/>
      <c r="H862" s="452"/>
      <c r="I862" s="454"/>
      <c r="J862" s="454"/>
      <c r="K862" s="454"/>
      <c r="L862" s="454"/>
    </row>
    <row r="863" spans="1:12" x14ac:dyDescent="0.3">
      <c r="A863" s="442">
        <f t="shared" si="13"/>
        <v>0</v>
      </c>
      <c r="B863" s="453"/>
      <c r="C863" s="454"/>
      <c r="D863" s="452"/>
      <c r="E863" s="454"/>
      <c r="F863" s="454"/>
      <c r="G863" s="454"/>
      <c r="H863" s="452"/>
      <c r="I863" s="454"/>
      <c r="J863" s="454"/>
      <c r="K863" s="454"/>
      <c r="L863" s="454"/>
    </row>
    <row r="864" spans="1:12" x14ac:dyDescent="0.3">
      <c r="A864" s="442">
        <f t="shared" si="13"/>
        <v>0</v>
      </c>
      <c r="B864" s="453"/>
      <c r="C864" s="454"/>
      <c r="D864" s="452"/>
      <c r="E864" s="454"/>
      <c r="F864" s="454"/>
      <c r="G864" s="454"/>
      <c r="H864" s="452"/>
      <c r="I864" s="454"/>
      <c r="J864" s="454"/>
      <c r="K864" s="454"/>
      <c r="L864" s="454"/>
    </row>
    <row r="865" spans="1:12" x14ac:dyDescent="0.3">
      <c r="A865" s="442">
        <f t="shared" si="13"/>
        <v>0</v>
      </c>
      <c r="B865" s="453"/>
      <c r="C865" s="454"/>
      <c r="D865" s="452"/>
      <c r="E865" s="454"/>
      <c r="F865" s="454"/>
      <c r="G865" s="454"/>
      <c r="H865" s="452"/>
      <c r="I865" s="454"/>
      <c r="J865" s="454"/>
      <c r="K865" s="454"/>
      <c r="L865" s="454"/>
    </row>
    <row r="866" spans="1:12" x14ac:dyDescent="0.3">
      <c r="A866" s="442">
        <f t="shared" si="13"/>
        <v>0</v>
      </c>
      <c r="B866" s="453"/>
      <c r="C866" s="454"/>
      <c r="D866" s="452"/>
      <c r="E866" s="454"/>
      <c r="F866" s="454"/>
      <c r="G866" s="454"/>
      <c r="H866" s="452"/>
      <c r="I866" s="454"/>
      <c r="J866" s="454"/>
      <c r="K866" s="454"/>
      <c r="L866" s="454"/>
    </row>
    <row r="867" spans="1:12" x14ac:dyDescent="0.3">
      <c r="A867" s="442">
        <f t="shared" si="13"/>
        <v>0</v>
      </c>
      <c r="B867" s="453"/>
      <c r="C867" s="454"/>
      <c r="D867" s="452"/>
      <c r="E867" s="454"/>
      <c r="F867" s="454"/>
      <c r="G867" s="454"/>
      <c r="H867" s="452"/>
      <c r="I867" s="454"/>
      <c r="J867" s="454"/>
      <c r="K867" s="454"/>
      <c r="L867" s="454"/>
    </row>
    <row r="868" spans="1:12" x14ac:dyDescent="0.3">
      <c r="A868" s="442">
        <f t="shared" si="13"/>
        <v>0</v>
      </c>
      <c r="B868" s="453"/>
      <c r="C868" s="454"/>
      <c r="D868" s="452"/>
      <c r="E868" s="454"/>
      <c r="F868" s="454"/>
      <c r="G868" s="454"/>
      <c r="H868" s="452"/>
      <c r="I868" s="454"/>
      <c r="J868" s="454"/>
      <c r="K868" s="454"/>
      <c r="L868" s="454"/>
    </row>
    <row r="869" spans="1:12" x14ac:dyDescent="0.3">
      <c r="A869" s="442">
        <f t="shared" si="13"/>
        <v>0</v>
      </c>
      <c r="B869" s="453"/>
      <c r="C869" s="454"/>
      <c r="D869" s="452"/>
      <c r="E869" s="454"/>
      <c r="F869" s="454"/>
      <c r="G869" s="454"/>
      <c r="H869" s="452"/>
      <c r="I869" s="454"/>
      <c r="J869" s="454"/>
      <c r="K869" s="454"/>
      <c r="L869" s="454"/>
    </row>
    <row r="870" spans="1:12" x14ac:dyDescent="0.3">
      <c r="A870" s="442">
        <f t="shared" si="13"/>
        <v>0</v>
      </c>
      <c r="B870" s="453"/>
      <c r="C870" s="454"/>
      <c r="D870" s="452"/>
      <c r="E870" s="454"/>
      <c r="F870" s="454"/>
      <c r="G870" s="454"/>
      <c r="H870" s="452"/>
      <c r="I870" s="454"/>
      <c r="J870" s="454"/>
      <c r="K870" s="454"/>
      <c r="L870" s="454"/>
    </row>
    <row r="871" spans="1:12" x14ac:dyDescent="0.3">
      <c r="A871" s="442">
        <f t="shared" si="13"/>
        <v>0</v>
      </c>
      <c r="B871" s="453"/>
      <c r="C871" s="454"/>
      <c r="D871" s="452"/>
      <c r="E871" s="454"/>
      <c r="F871" s="454"/>
      <c r="G871" s="454"/>
      <c r="H871" s="452"/>
      <c r="I871" s="454"/>
      <c r="J871" s="454"/>
      <c r="K871" s="454"/>
      <c r="L871" s="454"/>
    </row>
    <row r="872" spans="1:12" x14ac:dyDescent="0.3">
      <c r="A872" s="442">
        <f t="shared" si="13"/>
        <v>0</v>
      </c>
      <c r="B872" s="453"/>
      <c r="C872" s="454"/>
      <c r="D872" s="452"/>
      <c r="E872" s="454"/>
      <c r="F872" s="454"/>
      <c r="G872" s="454"/>
      <c r="H872" s="452"/>
      <c r="I872" s="454"/>
      <c r="J872" s="454"/>
      <c r="K872" s="454"/>
      <c r="L872" s="454"/>
    </row>
    <row r="873" spans="1:12" x14ac:dyDescent="0.3">
      <c r="A873" s="442">
        <f t="shared" si="13"/>
        <v>0</v>
      </c>
      <c r="B873" s="453"/>
      <c r="C873" s="454"/>
      <c r="D873" s="452"/>
      <c r="E873" s="454"/>
      <c r="F873" s="454"/>
      <c r="G873" s="454"/>
      <c r="H873" s="452"/>
      <c r="I873" s="454"/>
      <c r="J873" s="454"/>
      <c r="K873" s="454"/>
      <c r="L873" s="454"/>
    </row>
    <row r="874" spans="1:12" x14ac:dyDescent="0.3">
      <c r="A874" s="442">
        <f t="shared" si="13"/>
        <v>0</v>
      </c>
      <c r="B874" s="453"/>
      <c r="C874" s="454"/>
      <c r="D874" s="452"/>
      <c r="E874" s="454"/>
      <c r="F874" s="454"/>
      <c r="G874" s="454"/>
      <c r="H874" s="452"/>
      <c r="I874" s="454"/>
      <c r="J874" s="454"/>
      <c r="K874" s="454"/>
      <c r="L874" s="454"/>
    </row>
    <row r="875" spans="1:12" x14ac:dyDescent="0.3">
      <c r="A875" s="442">
        <f t="shared" si="13"/>
        <v>0</v>
      </c>
      <c r="B875" s="453"/>
      <c r="C875" s="454"/>
      <c r="D875" s="452"/>
      <c r="E875" s="454"/>
      <c r="F875" s="454"/>
      <c r="G875" s="454"/>
      <c r="H875" s="452"/>
      <c r="I875" s="454"/>
      <c r="J875" s="454"/>
      <c r="K875" s="454"/>
      <c r="L875" s="454"/>
    </row>
    <row r="876" spans="1:12" x14ac:dyDescent="0.3">
      <c r="A876" s="442">
        <f t="shared" si="13"/>
        <v>0</v>
      </c>
      <c r="B876" s="453"/>
      <c r="C876" s="454"/>
      <c r="D876" s="452"/>
      <c r="E876" s="454"/>
      <c r="F876" s="454"/>
      <c r="G876" s="454"/>
      <c r="H876" s="452"/>
      <c r="I876" s="454"/>
      <c r="J876" s="454"/>
      <c r="K876" s="454"/>
      <c r="L876" s="454"/>
    </row>
    <row r="877" spans="1:12" x14ac:dyDescent="0.3">
      <c r="A877" s="442">
        <f t="shared" si="13"/>
        <v>0</v>
      </c>
      <c r="B877" s="453"/>
      <c r="C877" s="454"/>
      <c r="D877" s="452"/>
      <c r="E877" s="454"/>
      <c r="F877" s="454"/>
      <c r="G877" s="454"/>
      <c r="H877" s="452"/>
      <c r="I877" s="454"/>
      <c r="J877" s="454"/>
      <c r="K877" s="454"/>
      <c r="L877" s="454"/>
    </row>
    <row r="878" spans="1:12" x14ac:dyDescent="0.3">
      <c r="A878" s="442">
        <f t="shared" si="13"/>
        <v>0</v>
      </c>
      <c r="B878" s="453"/>
      <c r="C878" s="454"/>
      <c r="D878" s="452"/>
      <c r="E878" s="454"/>
      <c r="F878" s="454"/>
      <c r="G878" s="454"/>
      <c r="H878" s="452"/>
      <c r="I878" s="454"/>
      <c r="J878" s="454"/>
      <c r="K878" s="454"/>
      <c r="L878" s="454"/>
    </row>
    <row r="879" spans="1:12" x14ac:dyDescent="0.3">
      <c r="A879" s="442">
        <f t="shared" si="13"/>
        <v>0</v>
      </c>
      <c r="B879" s="453"/>
      <c r="C879" s="454"/>
      <c r="D879" s="452"/>
      <c r="E879" s="454"/>
      <c r="F879" s="454"/>
      <c r="G879" s="454"/>
      <c r="H879" s="452"/>
      <c r="I879" s="454"/>
      <c r="J879" s="454"/>
      <c r="K879" s="454"/>
      <c r="L879" s="454"/>
    </row>
    <row r="880" spans="1:12" x14ac:dyDescent="0.3">
      <c r="A880" s="442">
        <f t="shared" si="13"/>
        <v>0</v>
      </c>
      <c r="B880" s="453"/>
      <c r="C880" s="454"/>
      <c r="D880" s="452"/>
      <c r="E880" s="454"/>
      <c r="F880" s="454"/>
      <c r="G880" s="454"/>
      <c r="H880" s="452"/>
      <c r="I880" s="454"/>
      <c r="J880" s="454"/>
      <c r="K880" s="454"/>
      <c r="L880" s="454"/>
    </row>
    <row r="881" spans="1:12" x14ac:dyDescent="0.3">
      <c r="A881" s="442">
        <f t="shared" si="13"/>
        <v>0</v>
      </c>
      <c r="B881" s="453"/>
      <c r="C881" s="454"/>
      <c r="D881" s="452"/>
      <c r="E881" s="454"/>
      <c r="F881" s="454"/>
      <c r="G881" s="454"/>
      <c r="H881" s="452"/>
      <c r="I881" s="454"/>
      <c r="J881" s="454"/>
      <c r="K881" s="454"/>
      <c r="L881" s="454"/>
    </row>
    <row r="882" spans="1:12" x14ac:dyDescent="0.3">
      <c r="A882" s="442">
        <f t="shared" si="13"/>
        <v>0</v>
      </c>
      <c r="B882" s="453"/>
      <c r="C882" s="454"/>
      <c r="D882" s="452"/>
      <c r="E882" s="454"/>
      <c r="F882" s="454"/>
      <c r="G882" s="454"/>
      <c r="H882" s="452"/>
      <c r="I882" s="454"/>
      <c r="J882" s="454"/>
      <c r="K882" s="454"/>
      <c r="L882" s="454"/>
    </row>
    <row r="883" spans="1:12" x14ac:dyDescent="0.3">
      <c r="A883" s="442">
        <f t="shared" si="13"/>
        <v>0</v>
      </c>
      <c r="B883" s="453"/>
      <c r="C883" s="454"/>
      <c r="D883" s="452"/>
      <c r="E883" s="454"/>
      <c r="F883" s="454"/>
      <c r="G883" s="454"/>
      <c r="H883" s="452"/>
      <c r="I883" s="454"/>
      <c r="J883" s="454"/>
      <c r="K883" s="454"/>
      <c r="L883" s="454"/>
    </row>
    <row r="884" spans="1:12" x14ac:dyDescent="0.3">
      <c r="A884" s="442">
        <f t="shared" si="13"/>
        <v>0</v>
      </c>
      <c r="B884" s="453"/>
      <c r="C884" s="454"/>
      <c r="D884" s="452"/>
      <c r="E884" s="454"/>
      <c r="F884" s="454"/>
      <c r="G884" s="454"/>
      <c r="H884" s="452"/>
      <c r="I884" s="454"/>
      <c r="J884" s="454"/>
      <c r="K884" s="454"/>
      <c r="L884" s="454"/>
    </row>
    <row r="885" spans="1:12" x14ac:dyDescent="0.3">
      <c r="A885" s="442">
        <f t="shared" ref="A885:A948" si="14">IF(D885="",0,SUBSTITUTE(LOWER(D885),"km","")+0)</f>
        <v>0</v>
      </c>
      <c r="B885" s="453"/>
      <c r="C885" s="454"/>
      <c r="D885" s="452"/>
      <c r="E885" s="454"/>
      <c r="F885" s="454"/>
      <c r="G885" s="454"/>
      <c r="H885" s="452"/>
      <c r="I885" s="454"/>
      <c r="J885" s="454"/>
      <c r="K885" s="454"/>
      <c r="L885" s="454"/>
    </row>
    <row r="886" spans="1:12" x14ac:dyDescent="0.3">
      <c r="A886" s="442">
        <f t="shared" si="14"/>
        <v>0</v>
      </c>
      <c r="B886" s="453"/>
      <c r="C886" s="454"/>
      <c r="D886" s="452"/>
      <c r="E886" s="454"/>
      <c r="F886" s="454"/>
      <c r="G886" s="454"/>
      <c r="H886" s="452"/>
      <c r="I886" s="454"/>
      <c r="J886" s="454"/>
      <c r="K886" s="454"/>
      <c r="L886" s="454"/>
    </row>
    <row r="887" spans="1:12" x14ac:dyDescent="0.3">
      <c r="A887" s="442">
        <f t="shared" si="14"/>
        <v>0</v>
      </c>
      <c r="B887" s="453"/>
      <c r="C887" s="454"/>
      <c r="D887" s="452"/>
      <c r="E887" s="454"/>
      <c r="F887" s="454"/>
      <c r="G887" s="454"/>
      <c r="H887" s="452"/>
      <c r="I887" s="454"/>
      <c r="J887" s="454"/>
      <c r="K887" s="454"/>
      <c r="L887" s="454"/>
    </row>
    <row r="888" spans="1:12" x14ac:dyDescent="0.3">
      <c r="A888" s="442">
        <f t="shared" si="14"/>
        <v>0</v>
      </c>
      <c r="B888" s="453"/>
      <c r="C888" s="454"/>
      <c r="D888" s="452"/>
      <c r="E888" s="454"/>
      <c r="F888" s="454"/>
      <c r="G888" s="454"/>
      <c r="H888" s="452"/>
      <c r="I888" s="454"/>
      <c r="J888" s="454"/>
      <c r="K888" s="454"/>
      <c r="L888" s="454"/>
    </row>
    <row r="889" spans="1:12" x14ac:dyDescent="0.3">
      <c r="A889" s="442">
        <f t="shared" si="14"/>
        <v>0</v>
      </c>
      <c r="B889" s="453"/>
      <c r="C889" s="454"/>
      <c r="D889" s="452"/>
      <c r="E889" s="454"/>
      <c r="F889" s="454"/>
      <c r="G889" s="454"/>
      <c r="H889" s="452"/>
      <c r="I889" s="454"/>
      <c r="J889" s="454"/>
      <c r="K889" s="454"/>
      <c r="L889" s="454"/>
    </row>
    <row r="890" spans="1:12" x14ac:dyDescent="0.3">
      <c r="A890" s="442">
        <f t="shared" si="14"/>
        <v>0</v>
      </c>
      <c r="B890" s="453"/>
      <c r="C890" s="454"/>
      <c r="D890" s="452"/>
      <c r="E890" s="454"/>
      <c r="F890" s="454"/>
      <c r="G890" s="454"/>
      <c r="H890" s="452"/>
      <c r="I890" s="454"/>
      <c r="J890" s="454"/>
      <c r="K890" s="454"/>
      <c r="L890" s="454"/>
    </row>
    <row r="891" spans="1:12" x14ac:dyDescent="0.3">
      <c r="A891" s="442">
        <f t="shared" si="14"/>
        <v>0</v>
      </c>
      <c r="B891" s="453"/>
      <c r="C891" s="454"/>
      <c r="D891" s="452"/>
      <c r="E891" s="454"/>
      <c r="F891" s="454"/>
      <c r="G891" s="454"/>
      <c r="H891" s="452"/>
      <c r="I891" s="454"/>
      <c r="J891" s="454"/>
      <c r="K891" s="454"/>
      <c r="L891" s="454"/>
    </row>
    <row r="892" spans="1:12" x14ac:dyDescent="0.3">
      <c r="A892" s="442">
        <f t="shared" si="14"/>
        <v>0</v>
      </c>
      <c r="B892" s="453"/>
      <c r="C892" s="454"/>
      <c r="D892" s="452"/>
      <c r="E892" s="454"/>
      <c r="F892" s="454"/>
      <c r="G892" s="454"/>
      <c r="H892" s="452"/>
      <c r="I892" s="454"/>
      <c r="J892" s="454"/>
      <c r="K892" s="454"/>
      <c r="L892" s="454"/>
    </row>
    <row r="893" spans="1:12" x14ac:dyDescent="0.3">
      <c r="A893" s="442">
        <f t="shared" si="14"/>
        <v>0</v>
      </c>
      <c r="B893" s="453"/>
      <c r="C893" s="454"/>
      <c r="D893" s="452"/>
      <c r="E893" s="454"/>
      <c r="F893" s="454"/>
      <c r="G893" s="454"/>
      <c r="H893" s="452"/>
      <c r="I893" s="454"/>
      <c r="J893" s="454"/>
      <c r="K893" s="454"/>
      <c r="L893" s="454"/>
    </row>
    <row r="894" spans="1:12" x14ac:dyDescent="0.3">
      <c r="A894" s="442">
        <f t="shared" si="14"/>
        <v>0</v>
      </c>
      <c r="B894" s="453"/>
      <c r="C894" s="454"/>
      <c r="D894" s="452"/>
      <c r="E894" s="454"/>
      <c r="F894" s="454"/>
      <c r="G894" s="454"/>
      <c r="H894" s="452"/>
      <c r="I894" s="454"/>
      <c r="J894" s="454"/>
      <c r="K894" s="454"/>
      <c r="L894" s="454"/>
    </row>
    <row r="895" spans="1:12" x14ac:dyDescent="0.3">
      <c r="A895" s="442">
        <f t="shared" si="14"/>
        <v>0</v>
      </c>
      <c r="B895" s="453"/>
      <c r="C895" s="454"/>
      <c r="D895" s="452"/>
      <c r="E895" s="454"/>
      <c r="F895" s="454"/>
      <c r="G895" s="454"/>
      <c r="H895" s="452"/>
      <c r="I895" s="454"/>
      <c r="J895" s="454"/>
      <c r="K895" s="454"/>
      <c r="L895" s="454"/>
    </row>
    <row r="896" spans="1:12" x14ac:dyDescent="0.3">
      <c r="A896" s="442">
        <f t="shared" si="14"/>
        <v>0</v>
      </c>
      <c r="B896" s="453"/>
      <c r="C896" s="454"/>
      <c r="D896" s="452"/>
      <c r="E896" s="454"/>
      <c r="F896" s="454"/>
      <c r="G896" s="454"/>
      <c r="H896" s="452"/>
      <c r="I896" s="454"/>
      <c r="J896" s="454"/>
      <c r="K896" s="454"/>
      <c r="L896" s="454"/>
    </row>
    <row r="897" spans="1:12" x14ac:dyDescent="0.3">
      <c r="A897" s="442">
        <f t="shared" si="14"/>
        <v>0</v>
      </c>
      <c r="B897" s="453"/>
      <c r="C897" s="454"/>
      <c r="D897" s="452"/>
      <c r="E897" s="454"/>
      <c r="F897" s="454"/>
      <c r="G897" s="454"/>
      <c r="H897" s="452"/>
      <c r="I897" s="454"/>
      <c r="J897" s="454"/>
      <c r="K897" s="454"/>
      <c r="L897" s="454"/>
    </row>
    <row r="898" spans="1:12" x14ac:dyDescent="0.3">
      <c r="A898" s="442">
        <f t="shared" si="14"/>
        <v>0</v>
      </c>
      <c r="B898" s="453"/>
      <c r="C898" s="454"/>
      <c r="D898" s="452"/>
      <c r="E898" s="454"/>
      <c r="F898" s="454"/>
      <c r="G898" s="454"/>
      <c r="H898" s="452"/>
      <c r="I898" s="454"/>
      <c r="J898" s="454"/>
      <c r="K898" s="454"/>
      <c r="L898" s="454"/>
    </row>
    <row r="899" spans="1:12" x14ac:dyDescent="0.3">
      <c r="A899" s="442">
        <f t="shared" si="14"/>
        <v>0</v>
      </c>
      <c r="B899" s="453"/>
      <c r="C899" s="454"/>
      <c r="D899" s="452"/>
      <c r="E899" s="454"/>
      <c r="F899" s="454"/>
      <c r="G899" s="454"/>
      <c r="H899" s="452"/>
      <c r="I899" s="454"/>
      <c r="J899" s="454"/>
      <c r="K899" s="454"/>
      <c r="L899" s="454"/>
    </row>
    <row r="900" spans="1:12" x14ac:dyDescent="0.3">
      <c r="A900" s="442">
        <f t="shared" si="14"/>
        <v>0</v>
      </c>
      <c r="B900" s="453"/>
      <c r="C900" s="454"/>
      <c r="D900" s="452"/>
      <c r="E900" s="454"/>
      <c r="F900" s="454"/>
      <c r="G900" s="454"/>
      <c r="H900" s="452"/>
      <c r="I900" s="454"/>
      <c r="J900" s="454"/>
      <c r="K900" s="454"/>
      <c r="L900" s="454"/>
    </row>
    <row r="901" spans="1:12" x14ac:dyDescent="0.3">
      <c r="A901" s="442">
        <f t="shared" si="14"/>
        <v>0</v>
      </c>
      <c r="B901" s="453"/>
      <c r="C901" s="454"/>
      <c r="D901" s="452"/>
      <c r="E901" s="454"/>
      <c r="F901" s="454"/>
      <c r="G901" s="454"/>
      <c r="H901" s="452"/>
      <c r="I901" s="454"/>
      <c r="J901" s="454"/>
      <c r="K901" s="454"/>
      <c r="L901" s="454"/>
    </row>
    <row r="902" spans="1:12" x14ac:dyDescent="0.3">
      <c r="A902" s="442">
        <f t="shared" si="14"/>
        <v>0</v>
      </c>
      <c r="B902" s="453"/>
      <c r="C902" s="454"/>
      <c r="D902" s="452"/>
      <c r="E902" s="454"/>
      <c r="F902" s="454"/>
      <c r="G902" s="454"/>
      <c r="H902" s="452"/>
      <c r="I902" s="454"/>
      <c r="J902" s="454"/>
      <c r="K902" s="454"/>
      <c r="L902" s="454"/>
    </row>
    <row r="903" spans="1:12" x14ac:dyDescent="0.3">
      <c r="A903" s="442">
        <f t="shared" si="14"/>
        <v>0</v>
      </c>
      <c r="B903" s="453"/>
      <c r="C903" s="454"/>
      <c r="D903" s="452"/>
      <c r="E903" s="454"/>
      <c r="F903" s="454"/>
      <c r="G903" s="454"/>
      <c r="H903" s="452"/>
      <c r="I903" s="454"/>
      <c r="J903" s="454"/>
      <c r="K903" s="454"/>
      <c r="L903" s="454"/>
    </row>
    <row r="904" spans="1:12" x14ac:dyDescent="0.3">
      <c r="A904" s="442">
        <f t="shared" si="14"/>
        <v>0</v>
      </c>
      <c r="B904" s="453"/>
      <c r="C904" s="454"/>
      <c r="D904" s="452"/>
      <c r="E904" s="454"/>
      <c r="F904" s="454"/>
      <c r="G904" s="454"/>
      <c r="H904" s="452"/>
      <c r="I904" s="454"/>
      <c r="J904" s="454"/>
      <c r="K904" s="454"/>
      <c r="L904" s="454"/>
    </row>
    <row r="905" spans="1:12" x14ac:dyDescent="0.3">
      <c r="A905" s="442">
        <f t="shared" si="14"/>
        <v>0</v>
      </c>
      <c r="B905" s="453"/>
      <c r="C905" s="454"/>
      <c r="D905" s="452"/>
      <c r="E905" s="454"/>
      <c r="F905" s="454"/>
      <c r="G905" s="454"/>
      <c r="H905" s="452"/>
      <c r="I905" s="454"/>
      <c r="J905" s="454"/>
      <c r="K905" s="454"/>
      <c r="L905" s="454"/>
    </row>
    <row r="906" spans="1:12" x14ac:dyDescent="0.3">
      <c r="A906" s="442">
        <f t="shared" si="14"/>
        <v>0</v>
      </c>
      <c r="B906" s="453"/>
      <c r="C906" s="454"/>
      <c r="D906" s="452"/>
      <c r="E906" s="454"/>
      <c r="F906" s="454"/>
      <c r="G906" s="454"/>
      <c r="H906" s="452"/>
      <c r="I906" s="454"/>
      <c r="J906" s="454"/>
      <c r="K906" s="454"/>
      <c r="L906" s="454"/>
    </row>
    <row r="907" spans="1:12" x14ac:dyDescent="0.3">
      <c r="A907" s="442">
        <f t="shared" si="14"/>
        <v>0</v>
      </c>
      <c r="B907" s="453"/>
      <c r="C907" s="454"/>
      <c r="D907" s="452"/>
      <c r="E907" s="454"/>
      <c r="F907" s="454"/>
      <c r="G907" s="454"/>
      <c r="H907" s="452"/>
      <c r="I907" s="454"/>
      <c r="J907" s="454"/>
      <c r="K907" s="454"/>
      <c r="L907" s="454"/>
    </row>
    <row r="908" spans="1:12" x14ac:dyDescent="0.3">
      <c r="A908" s="442">
        <f t="shared" si="14"/>
        <v>0</v>
      </c>
      <c r="B908" s="453"/>
      <c r="C908" s="454"/>
      <c r="D908" s="452"/>
      <c r="E908" s="454"/>
      <c r="F908" s="454"/>
      <c r="G908" s="454"/>
      <c r="H908" s="452"/>
      <c r="I908" s="454"/>
      <c r="J908" s="454"/>
      <c r="K908" s="454"/>
      <c r="L908" s="454"/>
    </row>
    <row r="909" spans="1:12" x14ac:dyDescent="0.3">
      <c r="A909" s="442">
        <f t="shared" si="14"/>
        <v>0</v>
      </c>
      <c r="B909" s="453"/>
      <c r="C909" s="454"/>
      <c r="D909" s="452"/>
      <c r="E909" s="454"/>
      <c r="F909" s="454"/>
      <c r="G909" s="454"/>
      <c r="H909" s="452"/>
      <c r="I909" s="454"/>
      <c r="J909" s="454"/>
      <c r="K909" s="454"/>
      <c r="L909" s="454"/>
    </row>
    <row r="910" spans="1:12" x14ac:dyDescent="0.3">
      <c r="A910" s="442">
        <f t="shared" si="14"/>
        <v>0</v>
      </c>
      <c r="B910" s="453"/>
      <c r="C910" s="454"/>
      <c r="D910" s="452"/>
      <c r="E910" s="454"/>
      <c r="F910" s="454"/>
      <c r="G910" s="454"/>
      <c r="H910" s="452"/>
      <c r="I910" s="454"/>
      <c r="J910" s="454"/>
      <c r="K910" s="454"/>
      <c r="L910" s="454"/>
    </row>
    <row r="911" spans="1:12" x14ac:dyDescent="0.3">
      <c r="A911" s="442">
        <f t="shared" si="14"/>
        <v>0</v>
      </c>
      <c r="B911" s="453"/>
      <c r="C911" s="454"/>
      <c r="D911" s="452"/>
      <c r="E911" s="454"/>
      <c r="F911" s="454"/>
      <c r="G911" s="454"/>
      <c r="H911" s="452"/>
      <c r="I911" s="454"/>
      <c r="J911" s="454"/>
      <c r="K911" s="454"/>
      <c r="L911" s="454"/>
    </row>
    <row r="912" spans="1:12" x14ac:dyDescent="0.3">
      <c r="A912" s="442">
        <f t="shared" si="14"/>
        <v>0</v>
      </c>
      <c r="B912" s="453"/>
      <c r="C912" s="454"/>
      <c r="D912" s="452"/>
      <c r="E912" s="454"/>
      <c r="F912" s="454"/>
      <c r="G912" s="454"/>
      <c r="H912" s="452"/>
      <c r="I912" s="454"/>
      <c r="J912" s="454"/>
      <c r="K912" s="454"/>
      <c r="L912" s="454"/>
    </row>
    <row r="913" spans="1:12" x14ac:dyDescent="0.3">
      <c r="A913" s="442">
        <f t="shared" si="14"/>
        <v>0</v>
      </c>
      <c r="B913" s="453"/>
      <c r="C913" s="454"/>
      <c r="D913" s="452"/>
      <c r="E913" s="454"/>
      <c r="F913" s="454"/>
      <c r="G913" s="454"/>
      <c r="H913" s="452"/>
      <c r="I913" s="454"/>
      <c r="J913" s="454"/>
      <c r="K913" s="454"/>
      <c r="L913" s="454"/>
    </row>
    <row r="914" spans="1:12" x14ac:dyDescent="0.3">
      <c r="A914" s="442">
        <f t="shared" si="14"/>
        <v>0</v>
      </c>
      <c r="B914" s="453"/>
      <c r="C914" s="454"/>
      <c r="D914" s="452"/>
      <c r="E914" s="454"/>
      <c r="F914" s="454"/>
      <c r="G914" s="454"/>
      <c r="H914" s="452"/>
      <c r="I914" s="454"/>
      <c r="J914" s="454"/>
      <c r="K914" s="454"/>
      <c r="L914" s="454"/>
    </row>
    <row r="915" spans="1:12" x14ac:dyDescent="0.3">
      <c r="A915" s="442">
        <f t="shared" si="14"/>
        <v>0</v>
      </c>
      <c r="B915" s="453"/>
      <c r="C915" s="454"/>
      <c r="D915" s="452"/>
      <c r="E915" s="454"/>
      <c r="F915" s="454"/>
      <c r="G915" s="454"/>
      <c r="H915" s="452"/>
      <c r="I915" s="454"/>
      <c r="J915" s="454"/>
      <c r="K915" s="454"/>
      <c r="L915" s="454"/>
    </row>
    <row r="916" spans="1:12" x14ac:dyDescent="0.3">
      <c r="A916" s="442">
        <f t="shared" si="14"/>
        <v>0</v>
      </c>
      <c r="B916" s="453"/>
      <c r="C916" s="454"/>
      <c r="D916" s="452"/>
      <c r="E916" s="454"/>
      <c r="F916" s="454"/>
      <c r="G916" s="454"/>
      <c r="H916" s="452"/>
      <c r="I916" s="454"/>
      <c r="J916" s="454"/>
      <c r="K916" s="454"/>
      <c r="L916" s="454"/>
    </row>
    <row r="917" spans="1:12" x14ac:dyDescent="0.3">
      <c r="A917" s="442">
        <f t="shared" si="14"/>
        <v>0</v>
      </c>
      <c r="B917" s="453"/>
      <c r="C917" s="454"/>
      <c r="D917" s="452"/>
      <c r="E917" s="454"/>
      <c r="F917" s="454"/>
      <c r="G917" s="454"/>
      <c r="H917" s="452"/>
      <c r="I917" s="454"/>
      <c r="J917" s="454"/>
      <c r="K917" s="454"/>
      <c r="L917" s="454"/>
    </row>
    <row r="918" spans="1:12" x14ac:dyDescent="0.3">
      <c r="A918" s="442">
        <f t="shared" si="14"/>
        <v>0</v>
      </c>
      <c r="B918" s="453"/>
      <c r="C918" s="454"/>
      <c r="D918" s="452"/>
      <c r="E918" s="454"/>
      <c r="F918" s="454"/>
      <c r="G918" s="454"/>
      <c r="H918" s="452"/>
      <c r="I918" s="454"/>
      <c r="J918" s="454"/>
      <c r="K918" s="454"/>
      <c r="L918" s="454"/>
    </row>
    <row r="919" spans="1:12" x14ac:dyDescent="0.3">
      <c r="A919" s="442">
        <f t="shared" si="14"/>
        <v>0</v>
      </c>
      <c r="B919" s="453"/>
      <c r="C919" s="454"/>
      <c r="D919" s="452"/>
      <c r="E919" s="454"/>
      <c r="F919" s="454"/>
      <c r="G919" s="454"/>
      <c r="H919" s="452"/>
      <c r="I919" s="454"/>
      <c r="J919" s="454"/>
      <c r="K919" s="454"/>
      <c r="L919" s="454"/>
    </row>
    <row r="920" spans="1:12" x14ac:dyDescent="0.3">
      <c r="A920" s="442">
        <f t="shared" si="14"/>
        <v>0</v>
      </c>
      <c r="B920" s="453"/>
      <c r="C920" s="454"/>
      <c r="D920" s="452"/>
      <c r="E920" s="454"/>
      <c r="F920" s="454"/>
      <c r="G920" s="454"/>
      <c r="H920" s="452"/>
      <c r="I920" s="454"/>
      <c r="J920" s="454"/>
      <c r="K920" s="454"/>
      <c r="L920" s="454"/>
    </row>
    <row r="921" spans="1:12" x14ac:dyDescent="0.3">
      <c r="A921" s="442">
        <f t="shared" si="14"/>
        <v>0</v>
      </c>
      <c r="B921" s="453"/>
      <c r="C921" s="454"/>
      <c r="D921" s="452"/>
      <c r="E921" s="454"/>
      <c r="F921" s="454"/>
      <c r="G921" s="454"/>
      <c r="H921" s="452"/>
      <c r="I921" s="454"/>
      <c r="J921" s="454"/>
      <c r="K921" s="454"/>
      <c r="L921" s="454"/>
    </row>
    <row r="922" spans="1:12" x14ac:dyDescent="0.3">
      <c r="A922" s="442">
        <f t="shared" si="14"/>
        <v>0</v>
      </c>
      <c r="B922" s="453"/>
      <c r="C922" s="454"/>
      <c r="D922" s="452"/>
      <c r="E922" s="454"/>
      <c r="F922" s="454"/>
      <c r="G922" s="454"/>
      <c r="H922" s="452"/>
      <c r="I922" s="454"/>
      <c r="J922" s="454"/>
      <c r="K922" s="454"/>
      <c r="L922" s="454"/>
    </row>
    <row r="923" spans="1:12" x14ac:dyDescent="0.3">
      <c r="A923" s="442">
        <f t="shared" si="14"/>
        <v>0</v>
      </c>
      <c r="B923" s="453"/>
      <c r="C923" s="454"/>
      <c r="D923" s="452"/>
      <c r="E923" s="454"/>
      <c r="F923" s="454"/>
      <c r="G923" s="454"/>
      <c r="H923" s="452"/>
      <c r="I923" s="454"/>
      <c r="J923" s="454"/>
      <c r="K923" s="454"/>
      <c r="L923" s="454"/>
    </row>
    <row r="924" spans="1:12" x14ac:dyDescent="0.3">
      <c r="A924" s="442">
        <f t="shared" si="14"/>
        <v>0</v>
      </c>
      <c r="B924" s="453"/>
      <c r="C924" s="454"/>
      <c r="D924" s="452"/>
      <c r="E924" s="454"/>
      <c r="F924" s="454"/>
      <c r="G924" s="454"/>
      <c r="H924" s="452"/>
      <c r="I924" s="454"/>
      <c r="J924" s="454"/>
      <c r="K924" s="454"/>
      <c r="L924" s="454"/>
    </row>
    <row r="925" spans="1:12" x14ac:dyDescent="0.3">
      <c r="A925" s="442">
        <f t="shared" si="14"/>
        <v>0</v>
      </c>
      <c r="B925" s="453"/>
      <c r="C925" s="454"/>
      <c r="D925" s="452"/>
      <c r="E925" s="454"/>
      <c r="F925" s="454"/>
      <c r="G925" s="454"/>
      <c r="H925" s="452"/>
      <c r="I925" s="454"/>
      <c r="J925" s="454"/>
      <c r="K925" s="454"/>
      <c r="L925" s="454"/>
    </row>
    <row r="926" spans="1:12" x14ac:dyDescent="0.3">
      <c r="A926" s="442">
        <f t="shared" si="14"/>
        <v>0</v>
      </c>
      <c r="B926" s="453"/>
      <c r="C926" s="454"/>
      <c r="D926" s="452"/>
      <c r="E926" s="454"/>
      <c r="F926" s="454"/>
      <c r="G926" s="454"/>
      <c r="H926" s="452"/>
      <c r="I926" s="454"/>
      <c r="J926" s="454"/>
      <c r="K926" s="454"/>
      <c r="L926" s="454"/>
    </row>
    <row r="927" spans="1:12" x14ac:dyDescent="0.3">
      <c r="A927" s="442">
        <f t="shared" si="14"/>
        <v>0</v>
      </c>
      <c r="B927" s="453"/>
      <c r="C927" s="454"/>
      <c r="D927" s="452"/>
      <c r="E927" s="454"/>
      <c r="F927" s="454"/>
      <c r="G927" s="454"/>
      <c r="H927" s="452"/>
      <c r="I927" s="454"/>
      <c r="J927" s="454"/>
      <c r="K927" s="454"/>
      <c r="L927" s="454"/>
    </row>
    <row r="928" spans="1:12" x14ac:dyDescent="0.3">
      <c r="A928" s="442">
        <f t="shared" si="14"/>
        <v>0</v>
      </c>
      <c r="B928" s="453"/>
      <c r="C928" s="454"/>
      <c r="D928" s="452"/>
      <c r="E928" s="454"/>
      <c r="F928" s="454"/>
      <c r="G928" s="454"/>
      <c r="H928" s="452"/>
      <c r="I928" s="454"/>
      <c r="J928" s="454"/>
      <c r="K928" s="454"/>
      <c r="L928" s="454"/>
    </row>
    <row r="929" spans="1:12" x14ac:dyDescent="0.3">
      <c r="A929" s="442">
        <f t="shared" si="14"/>
        <v>0</v>
      </c>
      <c r="B929" s="453"/>
      <c r="C929" s="454"/>
      <c r="D929" s="452"/>
      <c r="E929" s="454"/>
      <c r="F929" s="454"/>
      <c r="G929" s="454"/>
      <c r="H929" s="452"/>
      <c r="I929" s="454"/>
      <c r="J929" s="454"/>
      <c r="K929" s="454"/>
      <c r="L929" s="454"/>
    </row>
    <row r="930" spans="1:12" x14ac:dyDescent="0.3">
      <c r="A930" s="442">
        <f t="shared" si="14"/>
        <v>0</v>
      </c>
      <c r="B930" s="453"/>
      <c r="C930" s="454"/>
      <c r="D930" s="452"/>
      <c r="E930" s="454"/>
      <c r="F930" s="454"/>
      <c r="G930" s="454"/>
      <c r="H930" s="452"/>
      <c r="I930" s="454"/>
      <c r="J930" s="454"/>
      <c r="K930" s="454"/>
      <c r="L930" s="454"/>
    </row>
    <row r="931" spans="1:12" x14ac:dyDescent="0.3">
      <c r="A931" s="442">
        <f t="shared" si="14"/>
        <v>0</v>
      </c>
      <c r="B931" s="453"/>
      <c r="C931" s="454"/>
      <c r="D931" s="452"/>
      <c r="E931" s="454"/>
      <c r="F931" s="454"/>
      <c r="G931" s="454"/>
      <c r="H931" s="452"/>
      <c r="I931" s="454"/>
      <c r="J931" s="454"/>
      <c r="K931" s="454"/>
      <c r="L931" s="454"/>
    </row>
    <row r="932" spans="1:12" x14ac:dyDescent="0.3">
      <c r="A932" s="442">
        <f t="shared" si="14"/>
        <v>0</v>
      </c>
      <c r="B932" s="453"/>
      <c r="C932" s="454"/>
      <c r="D932" s="452"/>
      <c r="E932" s="454"/>
      <c r="F932" s="454"/>
      <c r="G932" s="454"/>
      <c r="H932" s="452"/>
      <c r="I932" s="454"/>
      <c r="J932" s="454"/>
      <c r="K932" s="454"/>
      <c r="L932" s="454"/>
    </row>
    <row r="933" spans="1:12" x14ac:dyDescent="0.3">
      <c r="A933" s="442">
        <f t="shared" si="14"/>
        <v>0</v>
      </c>
      <c r="B933" s="453"/>
      <c r="C933" s="454"/>
      <c r="D933" s="452"/>
      <c r="E933" s="454"/>
      <c r="F933" s="454"/>
      <c r="G933" s="454"/>
      <c r="H933" s="452"/>
      <c r="I933" s="454"/>
      <c r="J933" s="454"/>
      <c r="K933" s="454"/>
      <c r="L933" s="454"/>
    </row>
    <row r="934" spans="1:12" x14ac:dyDescent="0.3">
      <c r="A934" s="442">
        <f t="shared" si="14"/>
        <v>0</v>
      </c>
      <c r="B934" s="453"/>
      <c r="C934" s="454"/>
      <c r="D934" s="452"/>
      <c r="E934" s="454"/>
      <c r="F934" s="454"/>
      <c r="G934" s="454"/>
      <c r="H934" s="452"/>
      <c r="I934" s="454"/>
      <c r="J934" s="454"/>
      <c r="K934" s="454"/>
      <c r="L934" s="454"/>
    </row>
    <row r="935" spans="1:12" x14ac:dyDescent="0.3">
      <c r="A935" s="442">
        <f t="shared" si="14"/>
        <v>0</v>
      </c>
      <c r="B935" s="453"/>
      <c r="C935" s="454"/>
      <c r="D935" s="452"/>
      <c r="E935" s="454"/>
      <c r="F935" s="454"/>
      <c r="G935" s="454"/>
      <c r="H935" s="452"/>
      <c r="I935" s="454"/>
      <c r="J935" s="454"/>
      <c r="K935" s="454"/>
      <c r="L935" s="454"/>
    </row>
    <row r="936" spans="1:12" x14ac:dyDescent="0.3">
      <c r="A936" s="442">
        <f t="shared" si="14"/>
        <v>0</v>
      </c>
      <c r="B936" s="453"/>
      <c r="C936" s="454"/>
      <c r="D936" s="452"/>
      <c r="E936" s="454"/>
      <c r="F936" s="454"/>
      <c r="G936" s="454"/>
      <c r="H936" s="452"/>
      <c r="I936" s="454"/>
      <c r="J936" s="454"/>
      <c r="K936" s="454"/>
      <c r="L936" s="454"/>
    </row>
    <row r="937" spans="1:12" x14ac:dyDescent="0.3">
      <c r="A937" s="442">
        <f t="shared" si="14"/>
        <v>0</v>
      </c>
      <c r="B937" s="453"/>
      <c r="C937" s="454"/>
      <c r="D937" s="452"/>
      <c r="E937" s="454"/>
      <c r="F937" s="454"/>
      <c r="G937" s="454"/>
      <c r="H937" s="452"/>
      <c r="I937" s="454"/>
      <c r="J937" s="454"/>
      <c r="K937" s="454"/>
      <c r="L937" s="454"/>
    </row>
    <row r="938" spans="1:12" x14ac:dyDescent="0.3">
      <c r="A938" s="442">
        <f t="shared" si="14"/>
        <v>0</v>
      </c>
      <c r="B938" s="453"/>
      <c r="C938" s="454"/>
      <c r="D938" s="452"/>
      <c r="E938" s="454"/>
      <c r="F938" s="454"/>
      <c r="G938" s="454"/>
      <c r="H938" s="452"/>
      <c r="I938" s="454"/>
      <c r="J938" s="454"/>
      <c r="K938" s="454"/>
      <c r="L938" s="454"/>
    </row>
    <row r="939" spans="1:12" x14ac:dyDescent="0.3">
      <c r="A939" s="442">
        <f t="shared" si="14"/>
        <v>0</v>
      </c>
      <c r="B939" s="453"/>
      <c r="C939" s="454"/>
      <c r="D939" s="452"/>
      <c r="E939" s="454"/>
      <c r="F939" s="454"/>
      <c r="G939" s="454"/>
      <c r="H939" s="452"/>
      <c r="I939" s="454"/>
      <c r="J939" s="454"/>
      <c r="K939" s="454"/>
      <c r="L939" s="454"/>
    </row>
    <row r="940" spans="1:12" x14ac:dyDescent="0.3">
      <c r="A940" s="442">
        <f t="shared" si="14"/>
        <v>0</v>
      </c>
      <c r="B940" s="453"/>
      <c r="C940" s="454"/>
      <c r="D940" s="452"/>
      <c r="E940" s="454"/>
      <c r="F940" s="454"/>
      <c r="G940" s="454"/>
      <c r="H940" s="452"/>
      <c r="I940" s="454"/>
      <c r="J940" s="454"/>
      <c r="K940" s="454"/>
      <c r="L940" s="454"/>
    </row>
    <row r="941" spans="1:12" x14ac:dyDescent="0.3">
      <c r="A941" s="442">
        <f t="shared" si="14"/>
        <v>0</v>
      </c>
      <c r="B941" s="453"/>
      <c r="C941" s="454"/>
      <c r="D941" s="452"/>
      <c r="E941" s="454"/>
      <c r="F941" s="454"/>
      <c r="G941" s="454"/>
      <c r="H941" s="452"/>
      <c r="I941" s="454"/>
      <c r="J941" s="454"/>
      <c r="K941" s="454"/>
      <c r="L941" s="454"/>
    </row>
    <row r="942" spans="1:12" x14ac:dyDescent="0.3">
      <c r="A942" s="442">
        <f t="shared" si="14"/>
        <v>0</v>
      </c>
      <c r="B942" s="453"/>
      <c r="C942" s="454"/>
      <c r="D942" s="452"/>
      <c r="E942" s="454"/>
      <c r="F942" s="454"/>
      <c r="G942" s="454"/>
      <c r="H942" s="452"/>
      <c r="I942" s="454"/>
      <c r="J942" s="454"/>
      <c r="K942" s="454"/>
      <c r="L942" s="454"/>
    </row>
    <row r="943" spans="1:12" x14ac:dyDescent="0.3">
      <c r="A943" s="442">
        <f t="shared" si="14"/>
        <v>0</v>
      </c>
      <c r="B943" s="453"/>
      <c r="C943" s="454"/>
      <c r="D943" s="452"/>
      <c r="E943" s="454"/>
      <c r="F943" s="454"/>
      <c r="G943" s="454"/>
      <c r="H943" s="452"/>
      <c r="I943" s="454"/>
      <c r="J943" s="454"/>
      <c r="K943" s="454"/>
      <c r="L943" s="454"/>
    </row>
    <row r="944" spans="1:12" x14ac:dyDescent="0.3">
      <c r="A944" s="442">
        <f t="shared" si="14"/>
        <v>0</v>
      </c>
      <c r="B944" s="453"/>
      <c r="C944" s="454"/>
      <c r="D944" s="452"/>
      <c r="E944" s="454"/>
      <c r="F944" s="454"/>
      <c r="G944" s="454"/>
      <c r="H944" s="452"/>
      <c r="I944" s="454"/>
      <c r="J944" s="454"/>
      <c r="K944" s="454"/>
      <c r="L944" s="454"/>
    </row>
    <row r="945" spans="1:12" x14ac:dyDescent="0.3">
      <c r="A945" s="442">
        <f t="shared" si="14"/>
        <v>0</v>
      </c>
      <c r="B945" s="453"/>
      <c r="C945" s="454"/>
      <c r="D945" s="452"/>
      <c r="E945" s="454"/>
      <c r="F945" s="454"/>
      <c r="G945" s="454"/>
      <c r="H945" s="452"/>
      <c r="I945" s="454"/>
      <c r="J945" s="454"/>
      <c r="K945" s="454"/>
      <c r="L945" s="454"/>
    </row>
    <row r="946" spans="1:12" x14ac:dyDescent="0.3">
      <c r="A946" s="442">
        <f t="shared" si="14"/>
        <v>0</v>
      </c>
      <c r="B946" s="453"/>
      <c r="C946" s="454"/>
      <c r="D946" s="452"/>
      <c r="E946" s="454"/>
      <c r="F946" s="454"/>
      <c r="G946" s="454"/>
      <c r="H946" s="452"/>
      <c r="I946" s="454"/>
      <c r="J946" s="454"/>
      <c r="K946" s="454"/>
      <c r="L946" s="454"/>
    </row>
    <row r="947" spans="1:12" x14ac:dyDescent="0.3">
      <c r="A947" s="442">
        <f t="shared" si="14"/>
        <v>0</v>
      </c>
      <c r="B947" s="453"/>
      <c r="C947" s="454"/>
      <c r="D947" s="452"/>
      <c r="E947" s="454"/>
      <c r="F947" s="454"/>
      <c r="G947" s="454"/>
      <c r="H947" s="452"/>
      <c r="I947" s="454"/>
      <c r="J947" s="454"/>
      <c r="K947" s="454"/>
      <c r="L947" s="454"/>
    </row>
    <row r="948" spans="1:12" x14ac:dyDescent="0.3">
      <c r="A948" s="442">
        <f t="shared" si="14"/>
        <v>0</v>
      </c>
      <c r="B948" s="453"/>
      <c r="C948" s="454"/>
      <c r="D948" s="452"/>
      <c r="E948" s="454"/>
      <c r="F948" s="454"/>
      <c r="G948" s="454"/>
      <c r="H948" s="452"/>
      <c r="I948" s="454"/>
      <c r="J948" s="454"/>
      <c r="K948" s="454"/>
      <c r="L948" s="454"/>
    </row>
    <row r="949" spans="1:12" x14ac:dyDescent="0.3">
      <c r="A949" s="442">
        <f t="shared" ref="A949:A998" si="15">IF(D949="",0,SUBSTITUTE(LOWER(D949),"km","")+0)</f>
        <v>0</v>
      </c>
      <c r="B949" s="453"/>
      <c r="C949" s="454"/>
      <c r="D949" s="452"/>
      <c r="E949" s="454"/>
      <c r="F949" s="454"/>
      <c r="G949" s="454"/>
      <c r="H949" s="452"/>
      <c r="I949" s="454"/>
      <c r="J949" s="454"/>
      <c r="K949" s="454"/>
      <c r="L949" s="454"/>
    </row>
    <row r="950" spans="1:12" x14ac:dyDescent="0.3">
      <c r="A950" s="442">
        <f t="shared" si="15"/>
        <v>0</v>
      </c>
      <c r="B950" s="453"/>
      <c r="C950" s="454"/>
      <c r="D950" s="452"/>
      <c r="E950" s="454"/>
      <c r="F950" s="454"/>
      <c r="G950" s="454"/>
      <c r="H950" s="452"/>
      <c r="I950" s="454"/>
      <c r="J950" s="454"/>
      <c r="K950" s="454"/>
      <c r="L950" s="454"/>
    </row>
    <row r="951" spans="1:12" x14ac:dyDescent="0.3">
      <c r="A951" s="442">
        <f t="shared" si="15"/>
        <v>0</v>
      </c>
      <c r="B951" s="453"/>
      <c r="C951" s="454"/>
      <c r="D951" s="452"/>
      <c r="E951" s="454"/>
      <c r="F951" s="454"/>
      <c r="G951" s="454"/>
      <c r="H951" s="452"/>
      <c r="I951" s="454"/>
      <c r="J951" s="454"/>
      <c r="K951" s="454"/>
      <c r="L951" s="454"/>
    </row>
    <row r="952" spans="1:12" x14ac:dyDescent="0.3">
      <c r="A952" s="442">
        <f t="shared" si="15"/>
        <v>0</v>
      </c>
      <c r="B952" s="453"/>
      <c r="C952" s="454"/>
      <c r="D952" s="452"/>
      <c r="E952" s="454"/>
      <c r="F952" s="454"/>
      <c r="G952" s="454"/>
      <c r="H952" s="452"/>
      <c r="I952" s="454"/>
      <c r="J952" s="454"/>
      <c r="K952" s="454"/>
      <c r="L952" s="454"/>
    </row>
    <row r="953" spans="1:12" x14ac:dyDescent="0.3">
      <c r="A953" s="442">
        <f t="shared" si="15"/>
        <v>0</v>
      </c>
      <c r="B953" s="453"/>
      <c r="C953" s="454"/>
      <c r="D953" s="452"/>
      <c r="E953" s="454"/>
      <c r="F953" s="454"/>
      <c r="G953" s="454"/>
      <c r="H953" s="452"/>
      <c r="I953" s="454"/>
      <c r="J953" s="454"/>
      <c r="K953" s="454"/>
      <c r="L953" s="454"/>
    </row>
    <row r="954" spans="1:12" x14ac:dyDescent="0.3">
      <c r="A954" s="442">
        <f t="shared" si="15"/>
        <v>0</v>
      </c>
      <c r="B954" s="453"/>
      <c r="C954" s="454"/>
      <c r="D954" s="452"/>
      <c r="E954" s="454"/>
      <c r="F954" s="454"/>
      <c r="G954" s="454"/>
      <c r="H954" s="452"/>
      <c r="I954" s="454"/>
      <c r="J954" s="454"/>
      <c r="K954" s="454"/>
      <c r="L954" s="454"/>
    </row>
    <row r="955" spans="1:12" x14ac:dyDescent="0.3">
      <c r="A955" s="442">
        <f t="shared" si="15"/>
        <v>0</v>
      </c>
      <c r="B955" s="453"/>
      <c r="C955" s="454"/>
      <c r="D955" s="452"/>
      <c r="E955" s="454"/>
      <c r="F955" s="454"/>
      <c r="G955" s="454"/>
      <c r="H955" s="452"/>
      <c r="I955" s="454"/>
      <c r="J955" s="454"/>
      <c r="K955" s="454"/>
      <c r="L955" s="454"/>
    </row>
    <row r="956" spans="1:12" x14ac:dyDescent="0.3">
      <c r="A956" s="442">
        <f t="shared" si="15"/>
        <v>0</v>
      </c>
      <c r="B956" s="453"/>
      <c r="C956" s="454"/>
      <c r="D956" s="452"/>
      <c r="E956" s="454"/>
      <c r="F956" s="454"/>
      <c r="G956" s="454"/>
      <c r="H956" s="452"/>
      <c r="I956" s="454"/>
      <c r="J956" s="454"/>
      <c r="K956" s="454"/>
      <c r="L956" s="454"/>
    </row>
    <row r="957" spans="1:12" x14ac:dyDescent="0.3">
      <c r="A957" s="442">
        <f t="shared" si="15"/>
        <v>0</v>
      </c>
      <c r="B957" s="453"/>
      <c r="C957" s="454"/>
      <c r="D957" s="452"/>
      <c r="E957" s="454"/>
      <c r="F957" s="454"/>
      <c r="G957" s="454"/>
      <c r="H957" s="452"/>
      <c r="I957" s="454"/>
      <c r="J957" s="454"/>
      <c r="K957" s="454"/>
      <c r="L957" s="454"/>
    </row>
    <row r="958" spans="1:12" x14ac:dyDescent="0.3">
      <c r="A958" s="442">
        <f t="shared" si="15"/>
        <v>0</v>
      </c>
      <c r="B958" s="453"/>
      <c r="C958" s="454"/>
      <c r="D958" s="452"/>
      <c r="E958" s="454"/>
      <c r="F958" s="454"/>
      <c r="G958" s="454"/>
      <c r="H958" s="452"/>
      <c r="I958" s="454"/>
      <c r="J958" s="454"/>
      <c r="K958" s="454"/>
      <c r="L958" s="454"/>
    </row>
    <row r="959" spans="1:12" x14ac:dyDescent="0.3">
      <c r="A959" s="442">
        <f t="shared" si="15"/>
        <v>0</v>
      </c>
      <c r="B959" s="453"/>
      <c r="C959" s="454"/>
      <c r="D959" s="452"/>
      <c r="E959" s="454"/>
      <c r="F959" s="454"/>
      <c r="G959" s="454"/>
      <c r="H959" s="452"/>
      <c r="I959" s="454"/>
      <c r="J959" s="454"/>
      <c r="K959" s="454"/>
      <c r="L959" s="454"/>
    </row>
    <row r="960" spans="1:12" x14ac:dyDescent="0.3">
      <c r="A960" s="442">
        <f t="shared" si="15"/>
        <v>0</v>
      </c>
      <c r="B960" s="453"/>
      <c r="C960" s="454"/>
      <c r="D960" s="452"/>
      <c r="E960" s="454"/>
      <c r="F960" s="454"/>
      <c r="G960" s="454"/>
      <c r="H960" s="452"/>
      <c r="I960" s="454"/>
      <c r="J960" s="454"/>
      <c r="K960" s="454"/>
      <c r="L960" s="454"/>
    </row>
    <row r="961" spans="1:12" x14ac:dyDescent="0.3">
      <c r="A961" s="442">
        <f t="shared" si="15"/>
        <v>0</v>
      </c>
      <c r="B961" s="453"/>
      <c r="C961" s="454"/>
      <c r="D961" s="452"/>
      <c r="E961" s="454"/>
      <c r="F961" s="454"/>
      <c r="G961" s="454"/>
      <c r="H961" s="452"/>
      <c r="I961" s="454"/>
      <c r="J961" s="454"/>
      <c r="K961" s="454"/>
      <c r="L961" s="454"/>
    </row>
    <row r="962" spans="1:12" x14ac:dyDescent="0.3">
      <c r="A962" s="442">
        <f t="shared" si="15"/>
        <v>0</v>
      </c>
      <c r="B962" s="453"/>
      <c r="C962" s="454"/>
      <c r="D962" s="452"/>
      <c r="E962" s="454"/>
      <c r="F962" s="454"/>
      <c r="G962" s="454"/>
      <c r="H962" s="452"/>
      <c r="I962" s="454"/>
      <c r="J962" s="454"/>
      <c r="K962" s="454"/>
      <c r="L962" s="454"/>
    </row>
    <row r="963" spans="1:12" x14ac:dyDescent="0.3">
      <c r="A963" s="442">
        <f t="shared" si="15"/>
        <v>0</v>
      </c>
      <c r="B963" s="453"/>
      <c r="C963" s="454"/>
      <c r="D963" s="452"/>
      <c r="E963" s="454"/>
      <c r="F963" s="454"/>
      <c r="G963" s="454"/>
      <c r="H963" s="452"/>
      <c r="I963" s="454"/>
      <c r="J963" s="454"/>
      <c r="K963" s="454"/>
      <c r="L963" s="454"/>
    </row>
    <row r="964" spans="1:12" x14ac:dyDescent="0.3">
      <c r="A964" s="442">
        <f t="shared" si="15"/>
        <v>0</v>
      </c>
      <c r="B964" s="453"/>
      <c r="C964" s="454"/>
      <c r="D964" s="452"/>
      <c r="E964" s="454"/>
      <c r="F964" s="454"/>
      <c r="G964" s="454"/>
      <c r="H964" s="452"/>
      <c r="I964" s="454"/>
      <c r="J964" s="454"/>
      <c r="K964" s="454"/>
      <c r="L964" s="454"/>
    </row>
    <row r="965" spans="1:12" x14ac:dyDescent="0.3">
      <c r="A965" s="442">
        <f t="shared" si="15"/>
        <v>0</v>
      </c>
      <c r="B965" s="453"/>
      <c r="C965" s="454"/>
      <c r="D965" s="452"/>
      <c r="E965" s="454"/>
      <c r="F965" s="454"/>
      <c r="G965" s="454"/>
      <c r="H965" s="452"/>
      <c r="I965" s="454"/>
      <c r="J965" s="454"/>
      <c r="K965" s="454"/>
      <c r="L965" s="454"/>
    </row>
    <row r="966" spans="1:12" x14ac:dyDescent="0.3">
      <c r="A966" s="442">
        <f t="shared" si="15"/>
        <v>0</v>
      </c>
      <c r="B966" s="453"/>
      <c r="C966" s="454"/>
      <c r="D966" s="452"/>
      <c r="E966" s="454"/>
      <c r="F966" s="454"/>
      <c r="G966" s="454"/>
      <c r="H966" s="452"/>
      <c r="I966" s="454"/>
      <c r="J966" s="454"/>
      <c r="K966" s="454"/>
      <c r="L966" s="454"/>
    </row>
    <row r="967" spans="1:12" x14ac:dyDescent="0.3">
      <c r="A967" s="442">
        <f t="shared" si="15"/>
        <v>0</v>
      </c>
      <c r="B967" s="453"/>
      <c r="C967" s="454"/>
      <c r="D967" s="452"/>
      <c r="E967" s="454"/>
      <c r="F967" s="454"/>
      <c r="G967" s="454"/>
      <c r="H967" s="452"/>
      <c r="I967" s="454"/>
      <c r="J967" s="454"/>
      <c r="K967" s="454"/>
      <c r="L967" s="454"/>
    </row>
    <row r="968" spans="1:12" x14ac:dyDescent="0.3">
      <c r="A968" s="442">
        <f t="shared" si="15"/>
        <v>0</v>
      </c>
      <c r="B968" s="453"/>
      <c r="C968" s="454"/>
      <c r="D968" s="452"/>
      <c r="E968" s="454"/>
      <c r="F968" s="454"/>
      <c r="G968" s="454"/>
      <c r="H968" s="452"/>
      <c r="I968" s="454"/>
      <c r="J968" s="454"/>
      <c r="K968" s="454"/>
      <c r="L968" s="454"/>
    </row>
    <row r="969" spans="1:12" x14ac:dyDescent="0.3">
      <c r="A969" s="442">
        <f t="shared" si="15"/>
        <v>0</v>
      </c>
      <c r="B969" s="453"/>
      <c r="C969" s="454"/>
      <c r="D969" s="452"/>
      <c r="E969" s="454"/>
      <c r="F969" s="454"/>
      <c r="G969" s="454"/>
      <c r="H969" s="452"/>
      <c r="I969" s="454"/>
      <c r="J969" s="454"/>
      <c r="K969" s="454"/>
      <c r="L969" s="454"/>
    </row>
    <row r="970" spans="1:12" x14ac:dyDescent="0.3">
      <c r="A970" s="442">
        <f t="shared" si="15"/>
        <v>0</v>
      </c>
      <c r="B970" s="453"/>
      <c r="C970" s="454"/>
      <c r="D970" s="452"/>
      <c r="E970" s="454"/>
      <c r="F970" s="454"/>
      <c r="G970" s="454"/>
      <c r="H970" s="452"/>
      <c r="I970" s="454"/>
      <c r="J970" s="454"/>
      <c r="K970" s="454"/>
      <c r="L970" s="454"/>
    </row>
    <row r="971" spans="1:12" x14ac:dyDescent="0.3">
      <c r="A971" s="442">
        <f t="shared" si="15"/>
        <v>0</v>
      </c>
      <c r="B971" s="453"/>
      <c r="C971" s="454"/>
      <c r="D971" s="452"/>
      <c r="E971" s="454"/>
      <c r="F971" s="454"/>
      <c r="G971" s="454"/>
      <c r="H971" s="452"/>
      <c r="I971" s="454"/>
      <c r="J971" s="454"/>
      <c r="K971" s="454"/>
      <c r="L971" s="454"/>
    </row>
    <row r="972" spans="1:12" x14ac:dyDescent="0.3">
      <c r="A972" s="442">
        <f t="shared" si="15"/>
        <v>0</v>
      </c>
      <c r="B972" s="453"/>
      <c r="C972" s="454"/>
      <c r="D972" s="452"/>
      <c r="E972" s="454"/>
      <c r="F972" s="454"/>
      <c r="G972" s="454"/>
      <c r="H972" s="452"/>
      <c r="I972" s="454"/>
      <c r="J972" s="454"/>
      <c r="K972" s="454"/>
      <c r="L972" s="454"/>
    </row>
    <row r="973" spans="1:12" x14ac:dyDescent="0.3">
      <c r="A973" s="442">
        <f t="shared" si="15"/>
        <v>0</v>
      </c>
      <c r="B973" s="453"/>
      <c r="C973" s="454"/>
      <c r="D973" s="452"/>
      <c r="E973" s="454"/>
      <c r="F973" s="454"/>
      <c r="G973" s="454"/>
      <c r="H973" s="452"/>
      <c r="I973" s="454"/>
      <c r="J973" s="454"/>
      <c r="K973" s="454"/>
      <c r="L973" s="454"/>
    </row>
    <row r="974" spans="1:12" x14ac:dyDescent="0.3">
      <c r="A974" s="442">
        <f t="shared" si="15"/>
        <v>0</v>
      </c>
      <c r="B974" s="453"/>
      <c r="C974" s="454"/>
      <c r="D974" s="452"/>
      <c r="E974" s="454"/>
      <c r="F974" s="454"/>
      <c r="G974" s="454"/>
      <c r="H974" s="452"/>
      <c r="I974" s="454"/>
      <c r="J974" s="454"/>
      <c r="K974" s="454"/>
      <c r="L974" s="454"/>
    </row>
    <row r="975" spans="1:12" x14ac:dyDescent="0.3">
      <c r="A975" s="442">
        <f t="shared" si="15"/>
        <v>0</v>
      </c>
      <c r="B975" s="453"/>
      <c r="C975" s="454"/>
      <c r="D975" s="452"/>
      <c r="E975" s="454"/>
      <c r="F975" s="454"/>
      <c r="G975" s="454"/>
      <c r="H975" s="452"/>
      <c r="I975" s="454"/>
      <c r="J975" s="454"/>
      <c r="K975" s="454"/>
      <c r="L975" s="454"/>
    </row>
    <row r="976" spans="1:12" x14ac:dyDescent="0.3">
      <c r="A976" s="442">
        <f t="shared" si="15"/>
        <v>0</v>
      </c>
      <c r="B976" s="453"/>
      <c r="C976" s="454"/>
      <c r="D976" s="452"/>
      <c r="E976" s="454"/>
      <c r="F976" s="454"/>
      <c r="G976" s="454"/>
      <c r="H976" s="452"/>
      <c r="I976" s="454"/>
      <c r="J976" s="454"/>
      <c r="K976" s="454"/>
      <c r="L976" s="454"/>
    </row>
    <row r="977" spans="1:12" x14ac:dyDescent="0.3">
      <c r="A977" s="442">
        <f t="shared" si="15"/>
        <v>0</v>
      </c>
      <c r="B977" s="453"/>
      <c r="C977" s="454"/>
      <c r="D977" s="452"/>
      <c r="E977" s="454"/>
      <c r="F977" s="454"/>
      <c r="G977" s="454"/>
      <c r="H977" s="452"/>
      <c r="I977" s="454"/>
      <c r="J977" s="454"/>
      <c r="K977" s="454"/>
      <c r="L977" s="454"/>
    </row>
    <row r="978" spans="1:12" x14ac:dyDescent="0.3">
      <c r="A978" s="442">
        <f t="shared" si="15"/>
        <v>0</v>
      </c>
      <c r="B978" s="453"/>
      <c r="C978" s="454"/>
      <c r="D978" s="452"/>
      <c r="E978" s="454"/>
      <c r="F978" s="454"/>
      <c r="G978" s="454"/>
      <c r="H978" s="452"/>
      <c r="I978" s="454"/>
      <c r="J978" s="454"/>
      <c r="K978" s="454"/>
      <c r="L978" s="454"/>
    </row>
    <row r="979" spans="1:12" x14ac:dyDescent="0.3">
      <c r="A979" s="442">
        <f t="shared" si="15"/>
        <v>0</v>
      </c>
      <c r="B979" s="453"/>
      <c r="C979" s="454"/>
      <c r="D979" s="452"/>
      <c r="E979" s="454"/>
      <c r="F979" s="454"/>
      <c r="G979" s="454"/>
      <c r="H979" s="452"/>
      <c r="I979" s="454"/>
      <c r="J979" s="454"/>
      <c r="K979" s="454"/>
      <c r="L979" s="454"/>
    </row>
    <row r="980" spans="1:12" x14ac:dyDescent="0.3">
      <c r="A980" s="442">
        <f t="shared" si="15"/>
        <v>0</v>
      </c>
      <c r="B980" s="453"/>
      <c r="C980" s="454"/>
      <c r="D980" s="452"/>
      <c r="E980" s="454"/>
      <c r="F980" s="454"/>
      <c r="G980" s="454"/>
      <c r="H980" s="452"/>
      <c r="I980" s="454"/>
      <c r="J980" s="454"/>
      <c r="K980" s="454"/>
      <c r="L980" s="454"/>
    </row>
    <row r="981" spans="1:12" x14ac:dyDescent="0.3">
      <c r="A981" s="442">
        <f t="shared" si="15"/>
        <v>0</v>
      </c>
      <c r="B981" s="453"/>
      <c r="C981" s="454"/>
      <c r="D981" s="452"/>
      <c r="E981" s="454"/>
      <c r="F981" s="454"/>
      <c r="G981" s="454"/>
      <c r="H981" s="452"/>
      <c r="I981" s="454"/>
      <c r="J981" s="454"/>
      <c r="K981" s="454"/>
      <c r="L981" s="454"/>
    </row>
    <row r="982" spans="1:12" x14ac:dyDescent="0.3">
      <c r="A982" s="442">
        <f t="shared" si="15"/>
        <v>0</v>
      </c>
      <c r="B982" s="453"/>
      <c r="C982" s="454"/>
      <c r="D982" s="452"/>
      <c r="E982" s="454"/>
      <c r="F982" s="454"/>
      <c r="G982" s="454"/>
      <c r="H982" s="452"/>
      <c r="I982" s="454"/>
      <c r="J982" s="454"/>
      <c r="K982" s="454"/>
      <c r="L982" s="454"/>
    </row>
    <row r="983" spans="1:12" x14ac:dyDescent="0.3">
      <c r="A983" s="442">
        <f t="shared" si="15"/>
        <v>0</v>
      </c>
      <c r="B983" s="453"/>
      <c r="C983" s="454"/>
      <c r="D983" s="452"/>
      <c r="E983" s="454"/>
      <c r="F983" s="454"/>
      <c r="G983" s="454"/>
      <c r="H983" s="452"/>
      <c r="I983" s="454"/>
      <c r="J983" s="454"/>
      <c r="K983" s="454"/>
      <c r="L983" s="454"/>
    </row>
    <row r="984" spans="1:12" x14ac:dyDescent="0.3">
      <c r="A984" s="442">
        <f t="shared" si="15"/>
        <v>0</v>
      </c>
      <c r="B984" s="453"/>
      <c r="C984" s="454"/>
      <c r="D984" s="452"/>
      <c r="E984" s="454"/>
      <c r="F984" s="454"/>
      <c r="G984" s="454"/>
      <c r="H984" s="452"/>
      <c r="I984" s="454"/>
      <c r="J984" s="454"/>
      <c r="K984" s="454"/>
      <c r="L984" s="454"/>
    </row>
    <row r="985" spans="1:12" x14ac:dyDescent="0.3">
      <c r="A985" s="442">
        <f t="shared" si="15"/>
        <v>0</v>
      </c>
      <c r="B985" s="453"/>
      <c r="C985" s="454"/>
      <c r="D985" s="452"/>
      <c r="E985" s="454"/>
      <c r="F985" s="454"/>
      <c r="G985" s="454"/>
      <c r="H985" s="452"/>
      <c r="I985" s="454"/>
      <c r="J985" s="454"/>
      <c r="K985" s="454"/>
      <c r="L985" s="454"/>
    </row>
    <row r="986" spans="1:12" x14ac:dyDescent="0.3">
      <c r="A986" s="442">
        <f t="shared" si="15"/>
        <v>0</v>
      </c>
      <c r="B986" s="453"/>
      <c r="C986" s="454"/>
      <c r="D986" s="452"/>
      <c r="E986" s="454"/>
      <c r="F986" s="454"/>
      <c r="G986" s="454"/>
      <c r="H986" s="452"/>
      <c r="I986" s="454"/>
      <c r="J986" s="454"/>
      <c r="K986" s="454"/>
      <c r="L986" s="454"/>
    </row>
    <row r="987" spans="1:12" x14ac:dyDescent="0.3">
      <c r="A987" s="442">
        <f t="shared" si="15"/>
        <v>0</v>
      </c>
      <c r="B987" s="453"/>
      <c r="C987" s="454"/>
      <c r="D987" s="452"/>
      <c r="E987" s="454"/>
      <c r="F987" s="454"/>
      <c r="G987" s="454"/>
      <c r="H987" s="452"/>
      <c r="I987" s="454"/>
      <c r="J987" s="454"/>
      <c r="K987" s="454"/>
      <c r="L987" s="454"/>
    </row>
    <row r="988" spans="1:12" x14ac:dyDescent="0.3">
      <c r="A988" s="442">
        <f t="shared" si="15"/>
        <v>0</v>
      </c>
      <c r="B988" s="453"/>
      <c r="C988" s="454"/>
      <c r="D988" s="452"/>
      <c r="E988" s="454"/>
      <c r="F988" s="454"/>
      <c r="G988" s="454"/>
      <c r="H988" s="452"/>
      <c r="I988" s="454"/>
      <c r="J988" s="454"/>
      <c r="K988" s="454"/>
      <c r="L988" s="454"/>
    </row>
    <row r="989" spans="1:12" x14ac:dyDescent="0.3">
      <c r="A989" s="442">
        <f t="shared" si="15"/>
        <v>0</v>
      </c>
      <c r="B989" s="453"/>
      <c r="C989" s="454"/>
      <c r="D989" s="452"/>
      <c r="E989" s="454"/>
      <c r="F989" s="454"/>
      <c r="G989" s="454"/>
      <c r="H989" s="452"/>
      <c r="I989" s="454"/>
      <c r="J989" s="454"/>
      <c r="K989" s="454"/>
      <c r="L989" s="454"/>
    </row>
    <row r="990" spans="1:12" x14ac:dyDescent="0.3">
      <c r="A990" s="442">
        <f t="shared" si="15"/>
        <v>0</v>
      </c>
      <c r="B990" s="453"/>
      <c r="C990" s="454"/>
      <c r="D990" s="452"/>
      <c r="E990" s="454"/>
      <c r="F990" s="454"/>
      <c r="G990" s="454"/>
      <c r="H990" s="452"/>
      <c r="I990" s="454"/>
      <c r="J990" s="454"/>
      <c r="K990" s="454"/>
      <c r="L990" s="454"/>
    </row>
    <row r="991" spans="1:12" x14ac:dyDescent="0.3">
      <c r="A991" s="442">
        <f t="shared" si="15"/>
        <v>0</v>
      </c>
      <c r="B991" s="453"/>
      <c r="C991" s="454"/>
      <c r="D991" s="452"/>
      <c r="E991" s="454"/>
      <c r="F991" s="454"/>
      <c r="G991" s="454"/>
      <c r="H991" s="452"/>
      <c r="I991" s="454"/>
      <c r="J991" s="454"/>
      <c r="K991" s="454"/>
      <c r="L991" s="454"/>
    </row>
    <row r="992" spans="1:12" x14ac:dyDescent="0.3">
      <c r="A992" s="442">
        <f t="shared" si="15"/>
        <v>0</v>
      </c>
      <c r="B992" s="453"/>
      <c r="C992" s="454"/>
      <c r="D992" s="452"/>
      <c r="E992" s="454"/>
      <c r="F992" s="454"/>
      <c r="G992" s="454"/>
      <c r="H992" s="452"/>
      <c r="I992" s="454"/>
      <c r="J992" s="454"/>
      <c r="K992" s="454"/>
      <c r="L992" s="454"/>
    </row>
    <row r="993" spans="1:12" x14ac:dyDescent="0.3">
      <c r="A993" s="442">
        <f t="shared" si="15"/>
        <v>0</v>
      </c>
      <c r="B993" s="453"/>
      <c r="C993" s="454"/>
      <c r="D993" s="452"/>
      <c r="E993" s="454"/>
      <c r="F993" s="454"/>
      <c r="G993" s="454"/>
      <c r="H993" s="452"/>
      <c r="I993" s="454"/>
      <c r="J993" s="454"/>
      <c r="K993" s="454"/>
      <c r="L993" s="454"/>
    </row>
    <row r="994" spans="1:12" x14ac:dyDescent="0.3">
      <c r="A994" s="442">
        <f t="shared" si="15"/>
        <v>0</v>
      </c>
      <c r="B994" s="453"/>
      <c r="C994" s="454"/>
      <c r="D994" s="452"/>
      <c r="E994" s="454"/>
      <c r="F994" s="454"/>
      <c r="G994" s="454"/>
      <c r="H994" s="452"/>
      <c r="I994" s="454"/>
      <c r="J994" s="454"/>
      <c r="K994" s="454"/>
      <c r="L994" s="454"/>
    </row>
    <row r="995" spans="1:12" x14ac:dyDescent="0.3">
      <c r="A995" s="442">
        <f t="shared" si="15"/>
        <v>0</v>
      </c>
      <c r="B995" s="453"/>
      <c r="C995" s="454"/>
      <c r="D995" s="452"/>
      <c r="E995" s="454"/>
      <c r="F995" s="454"/>
      <c r="G995" s="454"/>
      <c r="H995" s="452"/>
      <c r="I995" s="454"/>
      <c r="J995" s="454"/>
      <c r="K995" s="454"/>
      <c r="L995" s="454"/>
    </row>
    <row r="996" spans="1:12" x14ac:dyDescent="0.3">
      <c r="A996" s="442">
        <f t="shared" si="15"/>
        <v>0</v>
      </c>
      <c r="B996" s="453"/>
      <c r="C996" s="454"/>
      <c r="D996" s="452"/>
      <c r="E996" s="454"/>
      <c r="F996" s="454"/>
      <c r="G996" s="454"/>
      <c r="H996" s="452"/>
      <c r="I996" s="454"/>
      <c r="J996" s="454"/>
      <c r="K996" s="454"/>
      <c r="L996" s="454"/>
    </row>
    <row r="997" spans="1:12" x14ac:dyDescent="0.3">
      <c r="A997" s="442">
        <f t="shared" si="15"/>
        <v>0</v>
      </c>
      <c r="B997" s="453"/>
      <c r="C997" s="454"/>
      <c r="D997" s="452"/>
      <c r="E997" s="454"/>
      <c r="F997" s="454"/>
      <c r="G997" s="454"/>
      <c r="H997" s="452"/>
      <c r="I997" s="454"/>
      <c r="J997" s="454"/>
      <c r="K997" s="454"/>
      <c r="L997" s="454"/>
    </row>
    <row r="998" spans="1:12" x14ac:dyDescent="0.3">
      <c r="A998" s="442">
        <f t="shared" si="15"/>
        <v>0</v>
      </c>
      <c r="B998" s="453"/>
      <c r="C998" s="454"/>
      <c r="D998" s="452"/>
      <c r="E998" s="454"/>
      <c r="F998" s="454"/>
      <c r="G998" s="454"/>
      <c r="H998" s="452"/>
      <c r="I998" s="454"/>
      <c r="J998" s="454"/>
      <c r="K998" s="454"/>
      <c r="L998" s="454"/>
    </row>
    <row r="999" spans="1:12" x14ac:dyDescent="0.3">
      <c r="A999" s="194"/>
      <c r="B999" s="194"/>
      <c r="C999" s="194"/>
      <c r="D999" s="194"/>
      <c r="E999" s="194"/>
      <c r="F999" s="194"/>
      <c r="G999" s="194"/>
      <c r="H999" s="194"/>
      <c r="I999" s="194"/>
      <c r="J999" s="194"/>
      <c r="K999" s="194"/>
      <c r="L999" s="194"/>
    </row>
    <row r="1000" spans="1:12" x14ac:dyDescent="0.3">
      <c r="A1000" s="194"/>
      <c r="B1000" s="194"/>
      <c r="C1000" s="194"/>
      <c r="D1000" s="194"/>
      <c r="E1000" s="194"/>
      <c r="F1000" s="194"/>
      <c r="G1000" s="194"/>
      <c r="H1000" s="194"/>
      <c r="I1000" s="194"/>
      <c r="J1000" s="194"/>
      <c r="K1000" s="194"/>
      <c r="L1000" s="194"/>
    </row>
    <row r="1001" spans="1:12" x14ac:dyDescent="0.3">
      <c r="A1001" s="194"/>
      <c r="B1001" s="194"/>
      <c r="C1001" s="194"/>
      <c r="D1001" s="194"/>
      <c r="E1001" s="194"/>
      <c r="F1001" s="194"/>
      <c r="G1001" s="194"/>
      <c r="H1001" s="194"/>
      <c r="I1001" s="194"/>
      <c r="J1001" s="194"/>
      <c r="K1001" s="194"/>
      <c r="L1001" s="194"/>
    </row>
    <row r="1002" spans="1:12" x14ac:dyDescent="0.3">
      <c r="A1002" s="194"/>
      <c r="B1002" s="194"/>
      <c r="C1002" s="194"/>
      <c r="D1002" s="194"/>
      <c r="E1002" s="194"/>
      <c r="F1002" s="194"/>
      <c r="G1002" s="194"/>
      <c r="H1002" s="194"/>
      <c r="I1002" s="194"/>
      <c r="J1002" s="194"/>
      <c r="K1002" s="194"/>
      <c r="L1002" s="194"/>
    </row>
    <row r="1003" spans="1:12" x14ac:dyDescent="0.3">
      <c r="A1003" s="194"/>
      <c r="B1003" s="194"/>
      <c r="C1003" s="194"/>
      <c r="D1003" s="194"/>
      <c r="E1003" s="194"/>
      <c r="F1003" s="194"/>
      <c r="G1003" s="194"/>
      <c r="H1003" s="194"/>
      <c r="I1003" s="194"/>
      <c r="J1003" s="194"/>
      <c r="K1003" s="194"/>
      <c r="L1003" s="194"/>
    </row>
    <row r="1004" spans="1:12" x14ac:dyDescent="0.3">
      <c r="A1004" s="194"/>
      <c r="B1004" s="194"/>
      <c r="C1004" s="194"/>
      <c r="D1004" s="194"/>
      <c r="E1004" s="194"/>
      <c r="F1004" s="194"/>
      <c r="G1004" s="194"/>
      <c r="H1004" s="194"/>
      <c r="I1004" s="194"/>
      <c r="J1004" s="194"/>
      <c r="K1004" s="194"/>
      <c r="L1004" s="194"/>
    </row>
    <row r="1005" spans="1:12" x14ac:dyDescent="0.3">
      <c r="A1005" s="194"/>
      <c r="B1005" s="194"/>
      <c r="C1005" s="194"/>
      <c r="D1005" s="194"/>
      <c r="E1005" s="194"/>
      <c r="F1005" s="194"/>
      <c r="G1005" s="194"/>
      <c r="H1005" s="194"/>
      <c r="I1005" s="194"/>
      <c r="J1005" s="194"/>
      <c r="K1005" s="194"/>
      <c r="L1005" s="194"/>
    </row>
    <row r="1006" spans="1:12" x14ac:dyDescent="0.3">
      <c r="A1006" s="194"/>
      <c r="B1006" s="194"/>
      <c r="C1006" s="194"/>
      <c r="D1006" s="194"/>
      <c r="E1006" s="194"/>
      <c r="F1006" s="194"/>
      <c r="G1006" s="194"/>
      <c r="H1006" s="194"/>
      <c r="I1006" s="194"/>
      <c r="J1006" s="194"/>
      <c r="K1006" s="194"/>
      <c r="L1006" s="194"/>
    </row>
    <row r="1007" spans="1:12" x14ac:dyDescent="0.3">
      <c r="A1007" s="194"/>
      <c r="B1007" s="194"/>
      <c r="C1007" s="194"/>
      <c r="D1007" s="194"/>
      <c r="E1007" s="194"/>
      <c r="F1007" s="194"/>
      <c r="G1007" s="194"/>
      <c r="H1007" s="194"/>
      <c r="I1007" s="194"/>
      <c r="J1007" s="194"/>
      <c r="K1007" s="194"/>
      <c r="L1007" s="194"/>
    </row>
    <row r="1008" spans="1:12" x14ac:dyDescent="0.3">
      <c r="A1008" s="194"/>
      <c r="B1008" s="194"/>
      <c r="C1008" s="194"/>
      <c r="D1008" s="194"/>
      <c r="E1008" s="194"/>
      <c r="F1008" s="194"/>
      <c r="G1008" s="194"/>
      <c r="H1008" s="194"/>
      <c r="I1008" s="194"/>
      <c r="J1008" s="194"/>
      <c r="K1008" s="194"/>
      <c r="L1008" s="194"/>
    </row>
    <row r="1009" spans="1:12" x14ac:dyDescent="0.3">
      <c r="A1009" s="194"/>
      <c r="B1009" s="194"/>
      <c r="C1009" s="194"/>
      <c r="D1009" s="194"/>
      <c r="E1009" s="194"/>
      <c r="F1009" s="194"/>
      <c r="G1009" s="194"/>
      <c r="H1009" s="194"/>
      <c r="I1009" s="194"/>
      <c r="J1009" s="194"/>
      <c r="K1009" s="194"/>
      <c r="L1009" s="194"/>
    </row>
    <row r="1010" spans="1:12" x14ac:dyDescent="0.3">
      <c r="A1010" s="194"/>
      <c r="B1010" s="194"/>
      <c r="C1010" s="194"/>
      <c r="D1010" s="194"/>
      <c r="E1010" s="194"/>
      <c r="F1010" s="194"/>
      <c r="G1010" s="194"/>
      <c r="H1010" s="194"/>
      <c r="I1010" s="194"/>
      <c r="J1010" s="194"/>
      <c r="K1010" s="194"/>
      <c r="L1010" s="194"/>
    </row>
    <row r="1011" spans="1:12" x14ac:dyDescent="0.3">
      <c r="A1011" s="194"/>
      <c r="B1011" s="194"/>
      <c r="C1011" s="194"/>
      <c r="D1011" s="194"/>
      <c r="E1011" s="194"/>
      <c r="F1011" s="194"/>
      <c r="G1011" s="194"/>
      <c r="H1011" s="194"/>
      <c r="I1011" s="194"/>
      <c r="J1011" s="194"/>
      <c r="K1011" s="194"/>
      <c r="L1011" s="194"/>
    </row>
    <row r="1012" spans="1:12" x14ac:dyDescent="0.3">
      <c r="A1012" s="194"/>
      <c r="B1012" s="194"/>
      <c r="C1012" s="194"/>
      <c r="D1012" s="194"/>
      <c r="E1012" s="194"/>
      <c r="F1012" s="194"/>
      <c r="G1012" s="194"/>
      <c r="H1012" s="194"/>
      <c r="I1012" s="194"/>
      <c r="J1012" s="194"/>
      <c r="K1012" s="194"/>
      <c r="L1012" s="194"/>
    </row>
    <row r="1013" spans="1:12" x14ac:dyDescent="0.3">
      <c r="A1013" s="194"/>
      <c r="B1013" s="194"/>
      <c r="C1013" s="194"/>
      <c r="D1013" s="194"/>
      <c r="E1013" s="194"/>
      <c r="F1013" s="194"/>
      <c r="G1013" s="194"/>
      <c r="H1013" s="194"/>
      <c r="I1013" s="194"/>
      <c r="J1013" s="194"/>
      <c r="K1013" s="194"/>
      <c r="L1013" s="194"/>
    </row>
    <row r="1014" spans="1:12" x14ac:dyDescent="0.3">
      <c r="A1014" s="194"/>
      <c r="B1014" s="194"/>
      <c r="C1014" s="194"/>
      <c r="D1014" s="194"/>
      <c r="E1014" s="194"/>
      <c r="F1014" s="194"/>
      <c r="G1014" s="194"/>
      <c r="H1014" s="194"/>
      <c r="I1014" s="194"/>
      <c r="J1014" s="194"/>
      <c r="K1014" s="194"/>
      <c r="L1014" s="194"/>
    </row>
    <row r="1015" spans="1:12" x14ac:dyDescent="0.3">
      <c r="A1015" s="194"/>
      <c r="B1015" s="194"/>
      <c r="C1015" s="194"/>
      <c r="D1015" s="194"/>
      <c r="E1015" s="194"/>
      <c r="F1015" s="194"/>
      <c r="G1015" s="194"/>
      <c r="H1015" s="194"/>
      <c r="I1015" s="194"/>
      <c r="J1015" s="194"/>
      <c r="K1015" s="194"/>
      <c r="L1015" s="194"/>
    </row>
    <row r="1016" spans="1:12" x14ac:dyDescent="0.3">
      <c r="A1016" s="194"/>
      <c r="B1016" s="194"/>
      <c r="C1016" s="194"/>
      <c r="D1016" s="194"/>
      <c r="E1016" s="194"/>
      <c r="F1016" s="194"/>
      <c r="G1016" s="194"/>
      <c r="H1016" s="194"/>
      <c r="I1016" s="194"/>
      <c r="J1016" s="194"/>
      <c r="K1016" s="194"/>
      <c r="L1016" s="194"/>
    </row>
    <row r="1017" spans="1:12" x14ac:dyDescent="0.3">
      <c r="A1017" s="194"/>
      <c r="B1017" s="194"/>
      <c r="C1017" s="194"/>
      <c r="D1017" s="194"/>
      <c r="E1017" s="194"/>
      <c r="F1017" s="194"/>
      <c r="G1017" s="194"/>
      <c r="H1017" s="194"/>
      <c r="I1017" s="194"/>
      <c r="J1017" s="194"/>
      <c r="K1017" s="194"/>
      <c r="L1017" s="194"/>
    </row>
    <row r="1018" spans="1:12" x14ac:dyDescent="0.3">
      <c r="A1018" s="194"/>
      <c r="B1018" s="194"/>
      <c r="C1018" s="194"/>
      <c r="D1018" s="194"/>
      <c r="E1018" s="194"/>
      <c r="F1018" s="194"/>
      <c r="G1018" s="194"/>
      <c r="H1018" s="194"/>
      <c r="I1018" s="194"/>
      <c r="J1018" s="194"/>
      <c r="K1018" s="194"/>
      <c r="L1018" s="194"/>
    </row>
    <row r="1019" spans="1:12" x14ac:dyDescent="0.3">
      <c r="A1019" s="194"/>
      <c r="B1019" s="194"/>
      <c r="C1019" s="194"/>
      <c r="D1019" s="194"/>
      <c r="E1019" s="194"/>
      <c r="F1019" s="194"/>
      <c r="G1019" s="194"/>
      <c r="H1019" s="194"/>
      <c r="I1019" s="194"/>
      <c r="J1019" s="194"/>
      <c r="K1019" s="194"/>
      <c r="L1019" s="194"/>
    </row>
    <row r="1020" spans="1:12" x14ac:dyDescent="0.3">
      <c r="A1020" s="194"/>
      <c r="B1020" s="194"/>
      <c r="C1020" s="194"/>
      <c r="D1020" s="194"/>
      <c r="E1020" s="194"/>
      <c r="F1020" s="194"/>
      <c r="G1020" s="194"/>
      <c r="H1020" s="194"/>
      <c r="I1020" s="194"/>
      <c r="J1020" s="194"/>
      <c r="K1020" s="194"/>
      <c r="L1020" s="194"/>
    </row>
    <row r="1021" spans="1:12" x14ac:dyDescent="0.3">
      <c r="A1021" s="194"/>
      <c r="B1021" s="194"/>
      <c r="C1021" s="194"/>
      <c r="D1021" s="194"/>
      <c r="E1021" s="194"/>
      <c r="F1021" s="194"/>
      <c r="G1021" s="194"/>
      <c r="H1021" s="194"/>
      <c r="I1021" s="194"/>
      <c r="J1021" s="194"/>
      <c r="K1021" s="194"/>
      <c r="L1021" s="194"/>
    </row>
    <row r="1022" spans="1:12" x14ac:dyDescent="0.3">
      <c r="A1022" s="194"/>
      <c r="B1022" s="194"/>
      <c r="C1022" s="194"/>
      <c r="D1022" s="194"/>
      <c r="E1022" s="194"/>
      <c r="F1022" s="194"/>
      <c r="G1022" s="194"/>
      <c r="H1022" s="194"/>
      <c r="I1022" s="194"/>
      <c r="J1022" s="194"/>
      <c r="K1022" s="194"/>
      <c r="L1022" s="194"/>
    </row>
    <row r="1023" spans="1:12" x14ac:dyDescent="0.3">
      <c r="A1023" s="194"/>
      <c r="B1023" s="194"/>
      <c r="C1023" s="194"/>
      <c r="D1023" s="194"/>
      <c r="E1023" s="194"/>
      <c r="F1023" s="194"/>
      <c r="G1023" s="194"/>
      <c r="H1023" s="194"/>
      <c r="I1023" s="194"/>
      <c r="J1023" s="194"/>
      <c r="K1023" s="194"/>
      <c r="L1023" s="194"/>
    </row>
    <row r="1024" spans="1:12" x14ac:dyDescent="0.3">
      <c r="A1024" s="194"/>
      <c r="B1024" s="194"/>
      <c r="C1024" s="194"/>
      <c r="D1024" s="194"/>
      <c r="E1024" s="194"/>
      <c r="F1024" s="194"/>
      <c r="G1024" s="194"/>
      <c r="H1024" s="194"/>
      <c r="I1024" s="194"/>
      <c r="J1024" s="194"/>
      <c r="K1024" s="194"/>
      <c r="L1024" s="194"/>
    </row>
    <row r="1025" spans="1:12" x14ac:dyDescent="0.3">
      <c r="A1025" s="194"/>
      <c r="B1025" s="194"/>
      <c r="C1025" s="194"/>
      <c r="D1025" s="194"/>
      <c r="E1025" s="194"/>
      <c r="F1025" s="194"/>
      <c r="G1025" s="194"/>
      <c r="H1025" s="194"/>
      <c r="I1025" s="194"/>
      <c r="J1025" s="194"/>
      <c r="K1025" s="194"/>
      <c r="L1025" s="194"/>
    </row>
    <row r="1026" spans="1:12" x14ac:dyDescent="0.3">
      <c r="A1026" s="194"/>
      <c r="B1026" s="194"/>
      <c r="C1026" s="194"/>
      <c r="D1026" s="194"/>
      <c r="E1026" s="194"/>
      <c r="F1026" s="194"/>
      <c r="G1026" s="194"/>
      <c r="H1026" s="194"/>
      <c r="I1026" s="194"/>
      <c r="J1026" s="194"/>
      <c r="K1026" s="194"/>
      <c r="L1026" s="194"/>
    </row>
    <row r="1027" spans="1:12" x14ac:dyDescent="0.3">
      <c r="A1027" s="194"/>
      <c r="B1027" s="194"/>
      <c r="C1027" s="194"/>
      <c r="D1027" s="194"/>
      <c r="E1027" s="194"/>
      <c r="F1027" s="194"/>
      <c r="G1027" s="194"/>
      <c r="H1027" s="194"/>
      <c r="I1027" s="194"/>
      <c r="J1027" s="194"/>
      <c r="K1027" s="194"/>
      <c r="L1027" s="194"/>
    </row>
    <row r="1028" spans="1:12" x14ac:dyDescent="0.3">
      <c r="A1028" s="194"/>
      <c r="B1028" s="194"/>
      <c r="C1028" s="194"/>
      <c r="D1028" s="194"/>
      <c r="E1028" s="194"/>
      <c r="F1028" s="194"/>
      <c r="G1028" s="194"/>
      <c r="H1028" s="194"/>
      <c r="I1028" s="194"/>
      <c r="J1028" s="194"/>
      <c r="K1028" s="194"/>
      <c r="L1028" s="194"/>
    </row>
    <row r="1029" spans="1:12" x14ac:dyDescent="0.3">
      <c r="A1029" s="194"/>
      <c r="B1029" s="194"/>
      <c r="C1029" s="194"/>
      <c r="D1029" s="194"/>
      <c r="E1029" s="194"/>
      <c r="F1029" s="194"/>
      <c r="G1029" s="194"/>
      <c r="H1029" s="194"/>
      <c r="I1029" s="194"/>
      <c r="J1029" s="194"/>
      <c r="K1029" s="194"/>
      <c r="L1029" s="194"/>
    </row>
    <row r="1030" spans="1:12" x14ac:dyDescent="0.3">
      <c r="A1030" s="194"/>
      <c r="B1030" s="194"/>
      <c r="C1030" s="194"/>
      <c r="D1030" s="194"/>
      <c r="E1030" s="194"/>
      <c r="F1030" s="194"/>
      <c r="G1030" s="194"/>
      <c r="H1030" s="194"/>
      <c r="I1030" s="194"/>
      <c r="J1030" s="194"/>
      <c r="K1030" s="194"/>
      <c r="L1030" s="194"/>
    </row>
    <row r="1031" spans="1:12" x14ac:dyDescent="0.3">
      <c r="A1031" s="194"/>
      <c r="B1031" s="194"/>
      <c r="C1031" s="194"/>
      <c r="D1031" s="194"/>
      <c r="E1031" s="194"/>
      <c r="F1031" s="194"/>
      <c r="G1031" s="194"/>
      <c r="H1031" s="194"/>
      <c r="I1031" s="194"/>
      <c r="J1031" s="194"/>
      <c r="K1031" s="194"/>
      <c r="L1031" s="194"/>
    </row>
    <row r="1032" spans="1:12" x14ac:dyDescent="0.3">
      <c r="A1032" s="194"/>
      <c r="B1032" s="194"/>
      <c r="C1032" s="194"/>
      <c r="D1032" s="194"/>
      <c r="E1032" s="194"/>
      <c r="F1032" s="194"/>
      <c r="G1032" s="194"/>
      <c r="H1032" s="194"/>
      <c r="I1032" s="194"/>
      <c r="J1032" s="194"/>
      <c r="K1032" s="194"/>
      <c r="L1032" s="194"/>
    </row>
    <row r="1033" spans="1:12" x14ac:dyDescent="0.3">
      <c r="A1033" s="194"/>
      <c r="B1033" s="194"/>
      <c r="C1033" s="194"/>
      <c r="D1033" s="194"/>
      <c r="E1033" s="194"/>
      <c r="F1033" s="194"/>
      <c r="G1033" s="194"/>
      <c r="H1033" s="194"/>
      <c r="I1033" s="194"/>
      <c r="J1033" s="194"/>
      <c r="K1033" s="194"/>
      <c r="L1033" s="194"/>
    </row>
    <row r="1034" spans="1:12" x14ac:dyDescent="0.3">
      <c r="A1034" s="194"/>
      <c r="B1034" s="194"/>
      <c r="C1034" s="194"/>
      <c r="D1034" s="194"/>
      <c r="E1034" s="194"/>
      <c r="F1034" s="194"/>
      <c r="G1034" s="194"/>
      <c r="H1034" s="194"/>
      <c r="I1034" s="194"/>
      <c r="J1034" s="194"/>
      <c r="K1034" s="194"/>
      <c r="L1034" s="194"/>
    </row>
    <row r="1035" spans="1:12" x14ac:dyDescent="0.3">
      <c r="A1035" s="194"/>
      <c r="B1035" s="194"/>
      <c r="C1035" s="194"/>
      <c r="D1035" s="194"/>
      <c r="E1035" s="194"/>
      <c r="F1035" s="194"/>
      <c r="G1035" s="194"/>
      <c r="H1035" s="194"/>
      <c r="I1035" s="194"/>
      <c r="J1035" s="194"/>
      <c r="K1035" s="194"/>
      <c r="L1035" s="194"/>
    </row>
    <row r="1036" spans="1:12" x14ac:dyDescent="0.3">
      <c r="A1036" s="194"/>
      <c r="B1036" s="194"/>
      <c r="C1036" s="194"/>
      <c r="D1036" s="194"/>
      <c r="E1036" s="194"/>
      <c r="F1036" s="194"/>
      <c r="G1036" s="194"/>
      <c r="H1036" s="194"/>
      <c r="I1036" s="194"/>
      <c r="J1036" s="194"/>
      <c r="K1036" s="194"/>
      <c r="L1036" s="194"/>
    </row>
    <row r="1037" spans="1:12" x14ac:dyDescent="0.3">
      <c r="A1037" s="194"/>
      <c r="B1037" s="194"/>
      <c r="C1037" s="194"/>
      <c r="D1037" s="194"/>
      <c r="E1037" s="194"/>
      <c r="F1037" s="194"/>
      <c r="G1037" s="194"/>
      <c r="H1037" s="194"/>
      <c r="I1037" s="194"/>
      <c r="J1037" s="194"/>
      <c r="K1037" s="194"/>
      <c r="L1037" s="194"/>
    </row>
    <row r="1038" spans="1:12" x14ac:dyDescent="0.3">
      <c r="A1038" s="194"/>
      <c r="B1038" s="194"/>
      <c r="C1038" s="194"/>
      <c r="D1038" s="194"/>
      <c r="E1038" s="194"/>
      <c r="F1038" s="194"/>
      <c r="G1038" s="194"/>
      <c r="H1038" s="194"/>
      <c r="I1038" s="194"/>
      <c r="J1038" s="194"/>
      <c r="K1038" s="194"/>
      <c r="L1038" s="194"/>
    </row>
    <row r="1039" spans="1:12" x14ac:dyDescent="0.3">
      <c r="A1039" s="194"/>
      <c r="B1039" s="194"/>
      <c r="C1039" s="194"/>
      <c r="D1039" s="194"/>
      <c r="E1039" s="194"/>
      <c r="F1039" s="194"/>
      <c r="G1039" s="194"/>
      <c r="H1039" s="194"/>
      <c r="I1039" s="194"/>
      <c r="J1039" s="194"/>
      <c r="K1039" s="194"/>
      <c r="L1039" s="194"/>
    </row>
    <row r="1040" spans="1:12" x14ac:dyDescent="0.3">
      <c r="A1040" s="194"/>
      <c r="B1040" s="194"/>
      <c r="C1040" s="194"/>
      <c r="D1040" s="194"/>
      <c r="E1040" s="194"/>
      <c r="F1040" s="194"/>
      <c r="G1040" s="194"/>
      <c r="H1040" s="194"/>
      <c r="I1040" s="194"/>
      <c r="J1040" s="194"/>
      <c r="K1040" s="194"/>
      <c r="L1040" s="194"/>
    </row>
    <row r="1041" spans="1:12" x14ac:dyDescent="0.3">
      <c r="A1041" s="194"/>
      <c r="B1041" s="194"/>
      <c r="C1041" s="194"/>
      <c r="D1041" s="194"/>
      <c r="E1041" s="194"/>
      <c r="F1041" s="194"/>
      <c r="G1041" s="194"/>
      <c r="H1041" s="194"/>
      <c r="I1041" s="194"/>
      <c r="J1041" s="194"/>
      <c r="K1041" s="194"/>
      <c r="L1041" s="194"/>
    </row>
    <row r="1042" spans="1:12" x14ac:dyDescent="0.3">
      <c r="A1042" s="194"/>
      <c r="B1042" s="194"/>
      <c r="C1042" s="194"/>
      <c r="D1042" s="194"/>
      <c r="E1042" s="194"/>
      <c r="F1042" s="194"/>
      <c r="G1042" s="194"/>
      <c r="H1042" s="194"/>
      <c r="I1042" s="194"/>
      <c r="J1042" s="194"/>
      <c r="K1042" s="194"/>
      <c r="L1042" s="194"/>
    </row>
    <row r="1043" spans="1:12" x14ac:dyDescent="0.3">
      <c r="A1043" s="194"/>
      <c r="B1043" s="194"/>
      <c r="C1043" s="194"/>
      <c r="D1043" s="194"/>
      <c r="E1043" s="194"/>
      <c r="F1043" s="194"/>
      <c r="G1043" s="194"/>
      <c r="H1043" s="194"/>
      <c r="I1043" s="194"/>
      <c r="J1043" s="194"/>
      <c r="K1043" s="194"/>
      <c r="L1043" s="194"/>
    </row>
    <row r="1044" spans="1:12" x14ac:dyDescent="0.3">
      <c r="A1044" s="194"/>
      <c r="B1044" s="194"/>
      <c r="C1044" s="194"/>
      <c r="D1044" s="194"/>
      <c r="E1044" s="194"/>
      <c r="F1044" s="194"/>
      <c r="G1044" s="194"/>
      <c r="H1044" s="194"/>
      <c r="I1044" s="194"/>
      <c r="J1044" s="194"/>
      <c r="K1044" s="194"/>
      <c r="L1044" s="194"/>
    </row>
    <row r="1045" spans="1:12" x14ac:dyDescent="0.3">
      <c r="A1045" s="194"/>
      <c r="B1045" s="194"/>
      <c r="C1045" s="194"/>
      <c r="D1045" s="194"/>
      <c r="E1045" s="194"/>
      <c r="F1045" s="194"/>
      <c r="G1045" s="194"/>
      <c r="H1045" s="194"/>
      <c r="I1045" s="194"/>
      <c r="J1045" s="194"/>
      <c r="K1045" s="194"/>
      <c r="L1045" s="194"/>
    </row>
    <row r="1046" spans="1:12" x14ac:dyDescent="0.3">
      <c r="A1046" s="194"/>
      <c r="B1046" s="194"/>
      <c r="C1046" s="194"/>
      <c r="D1046" s="194"/>
      <c r="E1046" s="194"/>
      <c r="F1046" s="194"/>
      <c r="G1046" s="194"/>
      <c r="H1046" s="194"/>
      <c r="I1046" s="194"/>
      <c r="J1046" s="194"/>
      <c r="K1046" s="194"/>
      <c r="L1046" s="194"/>
    </row>
    <row r="1047" spans="1:12" x14ac:dyDescent="0.3">
      <c r="A1047" s="194"/>
      <c r="B1047" s="194"/>
      <c r="C1047" s="194"/>
      <c r="D1047" s="194"/>
      <c r="E1047" s="194"/>
      <c r="F1047" s="194"/>
      <c r="G1047" s="194"/>
      <c r="H1047" s="194"/>
      <c r="I1047" s="194"/>
      <c r="J1047" s="194"/>
      <c r="K1047" s="194"/>
      <c r="L1047" s="194"/>
    </row>
    <row r="1048" spans="1:12" x14ac:dyDescent="0.3">
      <c r="A1048" s="194"/>
      <c r="B1048" s="194"/>
      <c r="C1048" s="194"/>
      <c r="D1048" s="194"/>
      <c r="E1048" s="194"/>
      <c r="F1048" s="194"/>
      <c r="G1048" s="194"/>
      <c r="H1048" s="194"/>
      <c r="I1048" s="194"/>
      <c r="J1048" s="194"/>
      <c r="K1048" s="194"/>
      <c r="L1048" s="194"/>
    </row>
    <row r="1049" spans="1:12" x14ac:dyDescent="0.3">
      <c r="A1049" s="194"/>
      <c r="B1049" s="194"/>
      <c r="C1049" s="194"/>
      <c r="D1049" s="194"/>
      <c r="E1049" s="194"/>
      <c r="F1049" s="194"/>
      <c r="G1049" s="194"/>
      <c r="H1049" s="194"/>
      <c r="I1049" s="194"/>
      <c r="J1049" s="194"/>
      <c r="K1049" s="194"/>
      <c r="L1049" s="194"/>
    </row>
    <row r="1050" spans="1:12" x14ac:dyDescent="0.3">
      <c r="A1050" s="194"/>
      <c r="B1050" s="194"/>
      <c r="C1050" s="194"/>
      <c r="D1050" s="194"/>
      <c r="E1050" s="194"/>
      <c r="F1050" s="194"/>
      <c r="G1050" s="194"/>
      <c r="H1050" s="194"/>
      <c r="I1050" s="194"/>
      <c r="J1050" s="194"/>
      <c r="K1050" s="194"/>
      <c r="L1050" s="194"/>
    </row>
    <row r="1051" spans="1:12" x14ac:dyDescent="0.3">
      <c r="A1051" s="194"/>
      <c r="B1051" s="194"/>
      <c r="C1051" s="194"/>
      <c r="D1051" s="194"/>
      <c r="E1051" s="194"/>
      <c r="F1051" s="194"/>
      <c r="G1051" s="194"/>
      <c r="H1051" s="194"/>
      <c r="I1051" s="194"/>
      <c r="J1051" s="194"/>
      <c r="K1051" s="194"/>
      <c r="L1051" s="194"/>
    </row>
    <row r="1052" spans="1:12" x14ac:dyDescent="0.3">
      <c r="A1052" s="194"/>
      <c r="B1052" s="194"/>
      <c r="C1052" s="194"/>
      <c r="D1052" s="194"/>
      <c r="E1052" s="194"/>
      <c r="F1052" s="194"/>
      <c r="G1052" s="194"/>
      <c r="H1052" s="194"/>
      <c r="I1052" s="194"/>
      <c r="J1052" s="194"/>
      <c r="K1052" s="194"/>
      <c r="L1052" s="194"/>
    </row>
    <row r="1053" spans="1:12" x14ac:dyDescent="0.3">
      <c r="A1053" s="194"/>
      <c r="B1053" s="194"/>
      <c r="C1053" s="194"/>
      <c r="D1053" s="194"/>
      <c r="E1053" s="194"/>
      <c r="F1053" s="194"/>
      <c r="G1053" s="194"/>
      <c r="H1053" s="194"/>
      <c r="I1053" s="194"/>
      <c r="J1053" s="194"/>
      <c r="K1053" s="194"/>
      <c r="L1053" s="194"/>
    </row>
    <row r="1054" spans="1:12" x14ac:dyDescent="0.3">
      <c r="A1054" s="194"/>
      <c r="B1054" s="194"/>
      <c r="C1054" s="194"/>
      <c r="D1054" s="194"/>
      <c r="E1054" s="194"/>
      <c r="F1054" s="194"/>
      <c r="G1054" s="194"/>
      <c r="H1054" s="194"/>
      <c r="I1054" s="194"/>
      <c r="J1054" s="194"/>
      <c r="K1054" s="194"/>
      <c r="L1054" s="194"/>
    </row>
    <row r="1055" spans="1:12" x14ac:dyDescent="0.3">
      <c r="A1055" s="194"/>
      <c r="B1055" s="194"/>
      <c r="C1055" s="194"/>
      <c r="D1055" s="194"/>
      <c r="E1055" s="194"/>
      <c r="F1055" s="194"/>
      <c r="G1055" s="194"/>
      <c r="H1055" s="194"/>
      <c r="I1055" s="194"/>
      <c r="J1055" s="194"/>
      <c r="K1055" s="194"/>
      <c r="L1055" s="194"/>
    </row>
    <row r="1056" spans="1:12" x14ac:dyDescent="0.3">
      <c r="A1056" s="194"/>
      <c r="B1056" s="194"/>
      <c r="C1056" s="194"/>
      <c r="D1056" s="194"/>
      <c r="E1056" s="194"/>
      <c r="F1056" s="194"/>
      <c r="G1056" s="194"/>
      <c r="H1056" s="194"/>
      <c r="I1056" s="194"/>
      <c r="J1056" s="194"/>
      <c r="K1056" s="194"/>
      <c r="L1056" s="194"/>
    </row>
    <row r="1057" spans="1:12" x14ac:dyDescent="0.3">
      <c r="A1057" s="194"/>
      <c r="B1057" s="194"/>
      <c r="C1057" s="194"/>
      <c r="D1057" s="194"/>
      <c r="E1057" s="194"/>
      <c r="F1057" s="194"/>
      <c r="G1057" s="194"/>
      <c r="H1057" s="194"/>
      <c r="I1057" s="194"/>
      <c r="J1057" s="194"/>
      <c r="K1057" s="194"/>
      <c r="L1057" s="194"/>
    </row>
    <row r="1058" spans="1:12" x14ac:dyDescent="0.3">
      <c r="A1058" s="194"/>
      <c r="B1058" s="194"/>
      <c r="C1058" s="194"/>
      <c r="D1058" s="194"/>
      <c r="E1058" s="194"/>
      <c r="F1058" s="194"/>
      <c r="G1058" s="194"/>
      <c r="H1058" s="194"/>
      <c r="I1058" s="194"/>
      <c r="J1058" s="194"/>
      <c r="K1058" s="194"/>
      <c r="L1058" s="194"/>
    </row>
    <row r="1059" spans="1:12" x14ac:dyDescent="0.3">
      <c r="A1059" s="194"/>
      <c r="B1059" s="194"/>
      <c r="C1059" s="194"/>
      <c r="D1059" s="194"/>
      <c r="E1059" s="194"/>
      <c r="F1059" s="194"/>
      <c r="G1059" s="194"/>
      <c r="H1059" s="194"/>
      <c r="I1059" s="194"/>
      <c r="J1059" s="194"/>
      <c r="K1059" s="194"/>
      <c r="L1059" s="194"/>
    </row>
    <row r="1060" spans="1:12" x14ac:dyDescent="0.3">
      <c r="A1060" s="194"/>
      <c r="B1060" s="194"/>
      <c r="C1060" s="194"/>
      <c r="D1060" s="194"/>
      <c r="E1060" s="194"/>
      <c r="F1060" s="194"/>
      <c r="G1060" s="194"/>
      <c r="H1060" s="194"/>
      <c r="I1060" s="194"/>
      <c r="J1060" s="194"/>
      <c r="K1060" s="194"/>
      <c r="L1060" s="194"/>
    </row>
    <row r="1061" spans="1:12" x14ac:dyDescent="0.3">
      <c r="A1061" s="194"/>
      <c r="B1061" s="194"/>
      <c r="C1061" s="194"/>
      <c r="D1061" s="194"/>
      <c r="E1061" s="194"/>
      <c r="F1061" s="194"/>
      <c r="G1061" s="194"/>
      <c r="H1061" s="194"/>
      <c r="I1061" s="194"/>
      <c r="J1061" s="194"/>
      <c r="K1061" s="194"/>
      <c r="L1061" s="194"/>
    </row>
    <row r="1062" spans="1:12" x14ac:dyDescent="0.3">
      <c r="A1062" s="194"/>
      <c r="B1062" s="194"/>
      <c r="C1062" s="194"/>
      <c r="D1062" s="194"/>
      <c r="E1062" s="194"/>
      <c r="F1062" s="194"/>
      <c r="G1062" s="194"/>
      <c r="H1062" s="194"/>
      <c r="I1062" s="194"/>
      <c r="J1062" s="194"/>
      <c r="K1062" s="194"/>
      <c r="L1062" s="194"/>
    </row>
    <row r="1063" spans="1:12" x14ac:dyDescent="0.3">
      <c r="A1063" s="194"/>
      <c r="B1063" s="194"/>
      <c r="C1063" s="194"/>
      <c r="D1063" s="194"/>
      <c r="E1063" s="194"/>
      <c r="F1063" s="194"/>
      <c r="G1063" s="194"/>
      <c r="H1063" s="194"/>
      <c r="I1063" s="194"/>
      <c r="J1063" s="194"/>
      <c r="K1063" s="194"/>
      <c r="L1063" s="194"/>
    </row>
    <row r="1064" spans="1:12" x14ac:dyDescent="0.3">
      <c r="A1064" s="194"/>
      <c r="B1064" s="194"/>
      <c r="C1064" s="194"/>
      <c r="D1064" s="194"/>
      <c r="E1064" s="194"/>
      <c r="F1064" s="194"/>
      <c r="G1064" s="194"/>
      <c r="H1064" s="194"/>
      <c r="I1064" s="194"/>
      <c r="J1064" s="194"/>
      <c r="K1064" s="194"/>
      <c r="L1064" s="194"/>
    </row>
    <row r="1065" spans="1:12" x14ac:dyDescent="0.3">
      <c r="A1065" s="194"/>
      <c r="B1065" s="194"/>
      <c r="C1065" s="194"/>
      <c r="D1065" s="194"/>
      <c r="E1065" s="194"/>
      <c r="F1065" s="194"/>
      <c r="G1065" s="194"/>
      <c r="H1065" s="194"/>
      <c r="I1065" s="194"/>
      <c r="J1065" s="194"/>
      <c r="K1065" s="194"/>
      <c r="L1065" s="194"/>
    </row>
    <row r="1066" spans="1:12" x14ac:dyDescent="0.3">
      <c r="A1066" s="194"/>
      <c r="B1066" s="194"/>
      <c r="C1066" s="194"/>
      <c r="D1066" s="194"/>
      <c r="E1066" s="194"/>
      <c r="F1066" s="194"/>
      <c r="G1066" s="194"/>
      <c r="H1066" s="194"/>
      <c r="I1066" s="194"/>
      <c r="J1066" s="194"/>
      <c r="K1066" s="194"/>
      <c r="L1066" s="194"/>
    </row>
    <row r="1067" spans="1:12" x14ac:dyDescent="0.3">
      <c r="A1067" s="194"/>
      <c r="B1067" s="194"/>
      <c r="C1067" s="194"/>
      <c r="D1067" s="194"/>
      <c r="E1067" s="194"/>
      <c r="F1067" s="194"/>
      <c r="G1067" s="194"/>
      <c r="H1067" s="194"/>
      <c r="I1067" s="194"/>
      <c r="J1067" s="194"/>
      <c r="K1067" s="194"/>
      <c r="L1067" s="194"/>
    </row>
    <row r="1068" spans="1:12" x14ac:dyDescent="0.3">
      <c r="A1068" s="194"/>
      <c r="B1068" s="194"/>
      <c r="C1068" s="194"/>
      <c r="D1068" s="194"/>
      <c r="E1068" s="194"/>
      <c r="F1068" s="194"/>
      <c r="G1068" s="194"/>
      <c r="H1068" s="194"/>
      <c r="I1068" s="194"/>
      <c r="J1068" s="194"/>
      <c r="K1068" s="194"/>
      <c r="L1068" s="194"/>
    </row>
    <row r="1069" spans="1:12" x14ac:dyDescent="0.3">
      <c r="A1069" s="194"/>
      <c r="B1069" s="194"/>
      <c r="C1069" s="194"/>
      <c r="D1069" s="194"/>
      <c r="E1069" s="194"/>
      <c r="F1069" s="194"/>
      <c r="G1069" s="194"/>
      <c r="H1069" s="194"/>
      <c r="I1069" s="194"/>
      <c r="J1069" s="194"/>
      <c r="K1069" s="194"/>
      <c r="L1069" s="194"/>
    </row>
    <row r="1070" spans="1:12" x14ac:dyDescent="0.3">
      <c r="A1070" s="194"/>
      <c r="B1070" s="194"/>
      <c r="C1070" s="194"/>
      <c r="D1070" s="194"/>
      <c r="E1070" s="194"/>
      <c r="F1070" s="194"/>
      <c r="G1070" s="194"/>
      <c r="H1070" s="194"/>
      <c r="I1070" s="194"/>
      <c r="J1070" s="194"/>
      <c r="K1070" s="194"/>
      <c r="L1070" s="194"/>
    </row>
    <row r="1071" spans="1:12" x14ac:dyDescent="0.3">
      <c r="A1071" s="194"/>
      <c r="B1071" s="194"/>
      <c r="C1071" s="194"/>
      <c r="D1071" s="194"/>
      <c r="E1071" s="194"/>
      <c r="F1071" s="194"/>
      <c r="G1071" s="194"/>
      <c r="H1071" s="194"/>
      <c r="I1071" s="194"/>
      <c r="J1071" s="194"/>
      <c r="K1071" s="194"/>
      <c r="L1071" s="194"/>
    </row>
    <row r="1072" spans="1:12" x14ac:dyDescent="0.3">
      <c r="A1072" s="194"/>
      <c r="B1072" s="194"/>
      <c r="C1072" s="194"/>
      <c r="D1072" s="194"/>
      <c r="E1072" s="194"/>
      <c r="F1072" s="194"/>
      <c r="G1072" s="194"/>
      <c r="H1072" s="194"/>
      <c r="I1072" s="194"/>
      <c r="J1072" s="194"/>
      <c r="K1072" s="194"/>
      <c r="L1072" s="194"/>
    </row>
    <row r="1073" spans="1:12" x14ac:dyDescent="0.3">
      <c r="A1073" s="194"/>
      <c r="B1073" s="194"/>
      <c r="C1073" s="194"/>
      <c r="D1073" s="194"/>
      <c r="E1073" s="194"/>
      <c r="F1073" s="194"/>
      <c r="G1073" s="194"/>
      <c r="H1073" s="194"/>
      <c r="I1073" s="194"/>
      <c r="J1073" s="194"/>
      <c r="K1073" s="194"/>
      <c r="L1073" s="194"/>
    </row>
    <row r="1074" spans="1:12" x14ac:dyDescent="0.3">
      <c r="A1074" s="194"/>
      <c r="B1074" s="194"/>
      <c r="C1074" s="194"/>
      <c r="D1074" s="194"/>
      <c r="E1074" s="194"/>
      <c r="F1074" s="194"/>
      <c r="G1074" s="194"/>
      <c r="H1074" s="194"/>
      <c r="I1074" s="194"/>
      <c r="J1074" s="194"/>
      <c r="K1074" s="194"/>
      <c r="L1074" s="194"/>
    </row>
    <row r="1075" spans="1:12" x14ac:dyDescent="0.3">
      <c r="A1075" s="194"/>
      <c r="B1075" s="194"/>
      <c r="C1075" s="194"/>
      <c r="D1075" s="194"/>
      <c r="E1075" s="194"/>
      <c r="F1075" s="194"/>
      <c r="G1075" s="194"/>
      <c r="H1075" s="194"/>
      <c r="I1075" s="194"/>
      <c r="J1075" s="194"/>
      <c r="K1075" s="194"/>
      <c r="L1075" s="194"/>
    </row>
    <row r="1076" spans="1:12" x14ac:dyDescent="0.3">
      <c r="A1076" s="194"/>
      <c r="B1076" s="194"/>
      <c r="C1076" s="194"/>
      <c r="D1076" s="194"/>
      <c r="E1076" s="194"/>
      <c r="F1076" s="194"/>
      <c r="G1076" s="194"/>
      <c r="H1076" s="194"/>
      <c r="I1076" s="194"/>
      <c r="J1076" s="194"/>
      <c r="K1076" s="194"/>
      <c r="L1076" s="194"/>
    </row>
    <row r="1077" spans="1:12" x14ac:dyDescent="0.3">
      <c r="A1077" s="194"/>
      <c r="B1077" s="194"/>
      <c r="C1077" s="194"/>
      <c r="D1077" s="194"/>
      <c r="E1077" s="194"/>
      <c r="F1077" s="194"/>
      <c r="G1077" s="194"/>
      <c r="H1077" s="194"/>
      <c r="I1077" s="194"/>
      <c r="J1077" s="194"/>
      <c r="K1077" s="194"/>
      <c r="L1077" s="194"/>
    </row>
    <row r="1078" spans="1:12" x14ac:dyDescent="0.3">
      <c r="A1078" s="194"/>
      <c r="B1078" s="194"/>
      <c r="C1078" s="194"/>
      <c r="D1078" s="194"/>
      <c r="E1078" s="194"/>
      <c r="F1078" s="194"/>
      <c r="G1078" s="194"/>
      <c r="H1078" s="194"/>
      <c r="I1078" s="194"/>
      <c r="J1078" s="194"/>
      <c r="K1078" s="194"/>
      <c r="L1078" s="194"/>
    </row>
    <row r="1079" spans="1:12" x14ac:dyDescent="0.3">
      <c r="A1079" s="194"/>
      <c r="B1079" s="194"/>
      <c r="C1079" s="194"/>
      <c r="D1079" s="194"/>
      <c r="E1079" s="194"/>
      <c r="F1079" s="194"/>
      <c r="G1079" s="194"/>
      <c r="H1079" s="194"/>
      <c r="I1079" s="194"/>
      <c r="J1079" s="194"/>
      <c r="K1079" s="194"/>
      <c r="L1079" s="194"/>
    </row>
    <row r="1080" spans="1:12" x14ac:dyDescent="0.3">
      <c r="A1080" s="194"/>
      <c r="B1080" s="194"/>
      <c r="C1080" s="194"/>
      <c r="D1080" s="194"/>
      <c r="E1080" s="194"/>
      <c r="F1080" s="194"/>
      <c r="G1080" s="194"/>
      <c r="H1080" s="194"/>
      <c r="I1080" s="194"/>
      <c r="J1080" s="194"/>
      <c r="K1080" s="194"/>
      <c r="L1080" s="194"/>
    </row>
    <row r="1081" spans="1:12" x14ac:dyDescent="0.3">
      <c r="A1081" s="194"/>
      <c r="B1081" s="194"/>
      <c r="C1081" s="194"/>
      <c r="D1081" s="194"/>
      <c r="E1081" s="194"/>
      <c r="F1081" s="194"/>
      <c r="G1081" s="194"/>
      <c r="H1081" s="194"/>
      <c r="I1081" s="194"/>
      <c r="J1081" s="194"/>
      <c r="K1081" s="194"/>
      <c r="L1081" s="194"/>
    </row>
    <row r="1082" spans="1:12" x14ac:dyDescent="0.3">
      <c r="A1082" s="194"/>
      <c r="B1082" s="194"/>
      <c r="C1082" s="194"/>
      <c r="D1082" s="194"/>
      <c r="E1082" s="194"/>
      <c r="F1082" s="194"/>
      <c r="G1082" s="194"/>
      <c r="H1082" s="194"/>
      <c r="I1082" s="194"/>
      <c r="J1082" s="194"/>
      <c r="K1082" s="194"/>
      <c r="L1082" s="194"/>
    </row>
    <row r="1083" spans="1:12" x14ac:dyDescent="0.3">
      <c r="A1083" s="194"/>
      <c r="B1083" s="194"/>
      <c r="C1083" s="194"/>
      <c r="D1083" s="194"/>
      <c r="E1083" s="194"/>
      <c r="F1083" s="194"/>
      <c r="G1083" s="194"/>
      <c r="H1083" s="194"/>
      <c r="I1083" s="194"/>
      <c r="J1083" s="194"/>
      <c r="K1083" s="194"/>
      <c r="L1083" s="194"/>
    </row>
    <row r="1084" spans="1:12" x14ac:dyDescent="0.3">
      <c r="A1084" s="194"/>
      <c r="B1084" s="194"/>
      <c r="C1084" s="194"/>
      <c r="D1084" s="194"/>
      <c r="E1084" s="194"/>
      <c r="F1084" s="194"/>
      <c r="G1084" s="194"/>
      <c r="H1084" s="194"/>
      <c r="I1084" s="194"/>
      <c r="J1084" s="194"/>
      <c r="K1084" s="194"/>
      <c r="L1084" s="194"/>
    </row>
    <row r="1085" spans="1:12" x14ac:dyDescent="0.3">
      <c r="A1085" s="194"/>
      <c r="B1085" s="194"/>
      <c r="C1085" s="194"/>
      <c r="D1085" s="194"/>
      <c r="E1085" s="194"/>
      <c r="F1085" s="194"/>
      <c r="G1085" s="194"/>
      <c r="H1085" s="194"/>
      <c r="I1085" s="194"/>
      <c r="J1085" s="194"/>
      <c r="K1085" s="194"/>
      <c r="L1085" s="194"/>
    </row>
    <row r="1086" spans="1:12" x14ac:dyDescent="0.3">
      <c r="A1086" s="194"/>
      <c r="B1086" s="194"/>
      <c r="C1086" s="194"/>
      <c r="D1086" s="194"/>
      <c r="E1086" s="194"/>
      <c r="F1086" s="194"/>
      <c r="G1086" s="194"/>
      <c r="H1086" s="194"/>
      <c r="I1086" s="194"/>
      <c r="J1086" s="194"/>
      <c r="K1086" s="194"/>
      <c r="L1086" s="194"/>
    </row>
    <row r="1087" spans="1:12" x14ac:dyDescent="0.3">
      <c r="A1087" s="194"/>
      <c r="B1087" s="194"/>
      <c r="C1087" s="194"/>
      <c r="D1087" s="194"/>
      <c r="E1087" s="194"/>
      <c r="F1087" s="194"/>
      <c r="G1087" s="194"/>
      <c r="H1087" s="194"/>
      <c r="I1087" s="194"/>
      <c r="J1087" s="194"/>
      <c r="K1087" s="194"/>
      <c r="L1087" s="194"/>
    </row>
    <row r="1088" spans="1:12" x14ac:dyDescent="0.3">
      <c r="A1088" s="194"/>
      <c r="B1088" s="194"/>
      <c r="C1088" s="194"/>
      <c r="D1088" s="194"/>
      <c r="E1088" s="194"/>
      <c r="F1088" s="194"/>
      <c r="G1088" s="194"/>
      <c r="H1088" s="194"/>
      <c r="I1088" s="194"/>
      <c r="J1088" s="194"/>
      <c r="K1088" s="194"/>
      <c r="L1088" s="194"/>
    </row>
    <row r="1089" spans="1:12" x14ac:dyDescent="0.3">
      <c r="A1089" s="194"/>
      <c r="B1089" s="194"/>
      <c r="C1089" s="194"/>
      <c r="D1089" s="194"/>
      <c r="E1089" s="194"/>
      <c r="F1089" s="194"/>
      <c r="G1089" s="194"/>
      <c r="H1089" s="194"/>
      <c r="I1089" s="194"/>
      <c r="J1089" s="194"/>
      <c r="K1089" s="194"/>
      <c r="L1089" s="194"/>
    </row>
    <row r="1090" spans="1:12" x14ac:dyDescent="0.3">
      <c r="A1090" s="194"/>
      <c r="B1090" s="194"/>
      <c r="C1090" s="194"/>
      <c r="D1090" s="194"/>
      <c r="E1090" s="194"/>
      <c r="F1090" s="194"/>
      <c r="G1090" s="194"/>
      <c r="H1090" s="194"/>
      <c r="I1090" s="194"/>
      <c r="J1090" s="194"/>
      <c r="K1090" s="194"/>
      <c r="L1090" s="194"/>
    </row>
    <row r="1091" spans="1:12" x14ac:dyDescent="0.3">
      <c r="A1091" s="194"/>
      <c r="B1091" s="194"/>
      <c r="C1091" s="194"/>
      <c r="D1091" s="194"/>
      <c r="E1091" s="194"/>
      <c r="F1091" s="194"/>
      <c r="G1091" s="194"/>
      <c r="H1091" s="194"/>
      <c r="I1091" s="194"/>
      <c r="J1091" s="194"/>
      <c r="K1091" s="194"/>
      <c r="L1091" s="194"/>
    </row>
    <row r="1092" spans="1:12" x14ac:dyDescent="0.3">
      <c r="A1092" s="194"/>
      <c r="B1092" s="194"/>
      <c r="C1092" s="194"/>
      <c r="D1092" s="194"/>
      <c r="E1092" s="194"/>
      <c r="F1092" s="194"/>
      <c r="G1092" s="194"/>
      <c r="H1092" s="194"/>
      <c r="I1092" s="194"/>
      <c r="J1092" s="194"/>
      <c r="K1092" s="194"/>
      <c r="L1092" s="194"/>
    </row>
    <row r="1093" spans="1:12" x14ac:dyDescent="0.3">
      <c r="A1093" s="194"/>
      <c r="B1093" s="194"/>
      <c r="C1093" s="194"/>
      <c r="D1093" s="194"/>
      <c r="E1093" s="194"/>
      <c r="F1093" s="194"/>
      <c r="G1093" s="194"/>
      <c r="H1093" s="194"/>
      <c r="I1093" s="194"/>
      <c r="J1093" s="194"/>
      <c r="K1093" s="194"/>
      <c r="L1093" s="194"/>
    </row>
    <row r="1094" spans="1:12" x14ac:dyDescent="0.3">
      <c r="A1094" s="194"/>
      <c r="B1094" s="194"/>
      <c r="C1094" s="194"/>
      <c r="D1094" s="194"/>
      <c r="E1094" s="194"/>
      <c r="F1094" s="194"/>
      <c r="G1094" s="194"/>
      <c r="H1094" s="194"/>
      <c r="I1094" s="194"/>
      <c r="J1094" s="194"/>
      <c r="K1094" s="194"/>
      <c r="L1094" s="194"/>
    </row>
    <row r="1095" spans="1:12" x14ac:dyDescent="0.3">
      <c r="A1095" s="194"/>
      <c r="B1095" s="194"/>
      <c r="C1095" s="194"/>
      <c r="D1095" s="194"/>
      <c r="E1095" s="194"/>
      <c r="F1095" s="194"/>
      <c r="G1095" s="194"/>
      <c r="H1095" s="194"/>
      <c r="I1095" s="194"/>
      <c r="J1095" s="194"/>
      <c r="K1095" s="194"/>
      <c r="L1095" s="194"/>
    </row>
    <row r="1096" spans="1:12" x14ac:dyDescent="0.3">
      <c r="A1096" s="194"/>
      <c r="B1096" s="194"/>
      <c r="C1096" s="194"/>
      <c r="D1096" s="194"/>
      <c r="E1096" s="194"/>
      <c r="F1096" s="194"/>
      <c r="G1096" s="194"/>
      <c r="H1096" s="194"/>
      <c r="I1096" s="194"/>
      <c r="J1096" s="194"/>
      <c r="K1096" s="194"/>
      <c r="L1096" s="194"/>
    </row>
    <row r="1097" spans="1:12" x14ac:dyDescent="0.3">
      <c r="A1097" s="194"/>
      <c r="B1097" s="194"/>
      <c r="C1097" s="194"/>
      <c r="D1097" s="194"/>
      <c r="E1097" s="194"/>
      <c r="F1097" s="194"/>
      <c r="G1097" s="194"/>
      <c r="H1097" s="194"/>
      <c r="I1097" s="194"/>
      <c r="J1097" s="194"/>
      <c r="K1097" s="194"/>
      <c r="L1097" s="194"/>
    </row>
    <row r="1098" spans="1:12" x14ac:dyDescent="0.3">
      <c r="A1098" s="194"/>
      <c r="B1098" s="194"/>
      <c r="C1098" s="194"/>
      <c r="D1098" s="194"/>
      <c r="E1098" s="194"/>
      <c r="F1098" s="194"/>
      <c r="G1098" s="194"/>
      <c r="H1098" s="194"/>
      <c r="I1098" s="194"/>
      <c r="J1098" s="194"/>
      <c r="K1098" s="194"/>
      <c r="L1098" s="194"/>
    </row>
    <row r="1099" spans="1:12" x14ac:dyDescent="0.3">
      <c r="A1099" s="194"/>
      <c r="B1099" s="194"/>
      <c r="C1099" s="194"/>
      <c r="D1099" s="194"/>
      <c r="E1099" s="194"/>
      <c r="F1099" s="194"/>
      <c r="G1099" s="194"/>
      <c r="H1099" s="194"/>
      <c r="I1099" s="194"/>
      <c r="J1099" s="194"/>
      <c r="K1099" s="194"/>
      <c r="L1099" s="194"/>
    </row>
    <row r="1100" spans="1:12" x14ac:dyDescent="0.3">
      <c r="A1100" s="194"/>
      <c r="B1100" s="194"/>
      <c r="C1100" s="194"/>
      <c r="D1100" s="194"/>
      <c r="E1100" s="194"/>
      <c r="F1100" s="194"/>
      <c r="G1100" s="194"/>
      <c r="H1100" s="194"/>
      <c r="I1100" s="194"/>
      <c r="J1100" s="194"/>
      <c r="K1100" s="194"/>
      <c r="L1100" s="194"/>
    </row>
    <row r="1101" spans="1:12" x14ac:dyDescent="0.3">
      <c r="A1101" s="194"/>
      <c r="B1101" s="194"/>
      <c r="C1101" s="194"/>
      <c r="D1101" s="194"/>
      <c r="E1101" s="194"/>
      <c r="F1101" s="194"/>
      <c r="G1101" s="194"/>
      <c r="H1101" s="194"/>
      <c r="I1101" s="194"/>
      <c r="J1101" s="194"/>
      <c r="K1101" s="194"/>
      <c r="L1101" s="194"/>
    </row>
    <row r="1102" spans="1:12" x14ac:dyDescent="0.3">
      <c r="A1102" s="194"/>
      <c r="B1102" s="194"/>
      <c r="C1102" s="194"/>
      <c r="D1102" s="194"/>
      <c r="E1102" s="194"/>
      <c r="F1102" s="194"/>
      <c r="G1102" s="194"/>
      <c r="H1102" s="194"/>
      <c r="I1102" s="194"/>
      <c r="J1102" s="194"/>
      <c r="K1102" s="194"/>
      <c r="L1102" s="194"/>
    </row>
    <row r="1103" spans="1:12" x14ac:dyDescent="0.3">
      <c r="A1103" s="194"/>
      <c r="B1103" s="194"/>
      <c r="C1103" s="194"/>
      <c r="D1103" s="194"/>
      <c r="E1103" s="194"/>
      <c r="F1103" s="194"/>
      <c r="G1103" s="194"/>
      <c r="H1103" s="194"/>
      <c r="I1103" s="194"/>
      <c r="J1103" s="194"/>
      <c r="K1103" s="194"/>
      <c r="L1103" s="194"/>
    </row>
    <row r="1104" spans="1:12" x14ac:dyDescent="0.3">
      <c r="A1104" s="194"/>
      <c r="B1104" s="194"/>
      <c r="C1104" s="194"/>
      <c r="D1104" s="194"/>
      <c r="E1104" s="194"/>
      <c r="F1104" s="194"/>
      <c r="G1104" s="194"/>
      <c r="H1104" s="194"/>
      <c r="I1104" s="194"/>
      <c r="J1104" s="194"/>
      <c r="K1104" s="194"/>
      <c r="L1104" s="194"/>
    </row>
    <row r="1105" spans="1:12" x14ac:dyDescent="0.3">
      <c r="A1105" s="194"/>
      <c r="B1105" s="194"/>
      <c r="C1105" s="194"/>
      <c r="D1105" s="194"/>
      <c r="E1105" s="194"/>
      <c r="F1105" s="194"/>
      <c r="G1105" s="194"/>
      <c r="H1105" s="194"/>
      <c r="I1105" s="194"/>
      <c r="J1105" s="194"/>
      <c r="K1105" s="194"/>
      <c r="L1105" s="194"/>
    </row>
    <row r="1106" spans="1:12" x14ac:dyDescent="0.3">
      <c r="A1106" s="194"/>
      <c r="B1106" s="194"/>
      <c r="C1106" s="194"/>
      <c r="D1106" s="194"/>
      <c r="E1106" s="194"/>
      <c r="F1106" s="194"/>
      <c r="G1106" s="194"/>
      <c r="H1106" s="194"/>
      <c r="I1106" s="194"/>
      <c r="J1106" s="194"/>
      <c r="K1106" s="194"/>
      <c r="L1106" s="194"/>
    </row>
    <row r="1107" spans="1:12" x14ac:dyDescent="0.3">
      <c r="A1107" s="194"/>
      <c r="B1107" s="194"/>
      <c r="C1107" s="194"/>
      <c r="D1107" s="194"/>
      <c r="E1107" s="194"/>
      <c r="F1107" s="194"/>
      <c r="G1107" s="194"/>
      <c r="H1107" s="194"/>
      <c r="I1107" s="194"/>
      <c r="J1107" s="194"/>
      <c r="K1107" s="194"/>
      <c r="L1107" s="194"/>
    </row>
    <row r="1108" spans="1:12" x14ac:dyDescent="0.3">
      <c r="A1108" s="194"/>
      <c r="B1108" s="194"/>
      <c r="C1108" s="194"/>
      <c r="D1108" s="194"/>
      <c r="E1108" s="194"/>
      <c r="F1108" s="194"/>
      <c r="G1108" s="194"/>
      <c r="H1108" s="194"/>
      <c r="I1108" s="194"/>
      <c r="J1108" s="194"/>
      <c r="K1108" s="194"/>
      <c r="L1108" s="194"/>
    </row>
    <row r="1109" spans="1:12" x14ac:dyDescent="0.3">
      <c r="A1109" s="194"/>
      <c r="B1109" s="194"/>
      <c r="C1109" s="194"/>
      <c r="D1109" s="194"/>
      <c r="E1109" s="194"/>
      <c r="F1109" s="194"/>
      <c r="G1109" s="194"/>
      <c r="H1109" s="194"/>
      <c r="I1109" s="194"/>
      <c r="J1109" s="194"/>
      <c r="K1109" s="194"/>
      <c r="L1109" s="194"/>
    </row>
    <row r="1110" spans="1:12" x14ac:dyDescent="0.3">
      <c r="A1110" s="194"/>
      <c r="B1110" s="194"/>
      <c r="C1110" s="194"/>
      <c r="D1110" s="194"/>
      <c r="E1110" s="194"/>
      <c r="F1110" s="194"/>
      <c r="G1110" s="194"/>
      <c r="H1110" s="194"/>
      <c r="I1110" s="194"/>
      <c r="J1110" s="194"/>
      <c r="K1110" s="194"/>
      <c r="L1110" s="194"/>
    </row>
    <row r="1111" spans="1:12" x14ac:dyDescent="0.3">
      <c r="A1111" s="194"/>
      <c r="B1111" s="194"/>
      <c r="C1111" s="194"/>
      <c r="D1111" s="194"/>
      <c r="E1111" s="194"/>
      <c r="F1111" s="194"/>
      <c r="G1111" s="194"/>
      <c r="H1111" s="194"/>
      <c r="I1111" s="194"/>
      <c r="J1111" s="194"/>
      <c r="K1111" s="194"/>
      <c r="L1111" s="194"/>
    </row>
    <row r="1112" spans="1:12" x14ac:dyDescent="0.3">
      <c r="A1112" s="194"/>
      <c r="B1112" s="194"/>
      <c r="C1112" s="194"/>
      <c r="D1112" s="194"/>
      <c r="E1112" s="194"/>
      <c r="F1112" s="194"/>
      <c r="G1112" s="194"/>
      <c r="H1112" s="194"/>
      <c r="I1112" s="194"/>
      <c r="J1112" s="194"/>
      <c r="K1112" s="194"/>
      <c r="L1112" s="194"/>
    </row>
    <row r="1113" spans="1:12" x14ac:dyDescent="0.3">
      <c r="A1113" s="194"/>
      <c r="B1113" s="194"/>
      <c r="C1113" s="194"/>
      <c r="D1113" s="194"/>
      <c r="E1113" s="194"/>
      <c r="F1113" s="194"/>
      <c r="G1113" s="194"/>
      <c r="H1113" s="194"/>
      <c r="I1113" s="194"/>
      <c r="J1113" s="194"/>
      <c r="K1113" s="194"/>
      <c r="L1113" s="194"/>
    </row>
    <row r="1114" spans="1:12" x14ac:dyDescent="0.3">
      <c r="A1114" s="194"/>
      <c r="B1114" s="194"/>
      <c r="C1114" s="194"/>
      <c r="D1114" s="194"/>
      <c r="E1114" s="194"/>
      <c r="F1114" s="194"/>
      <c r="G1114" s="194"/>
      <c r="H1114" s="194"/>
      <c r="I1114" s="194"/>
      <c r="J1114" s="194"/>
      <c r="K1114" s="194"/>
      <c r="L1114" s="194"/>
    </row>
    <row r="1115" spans="1:12" x14ac:dyDescent="0.3">
      <c r="A1115" s="194"/>
      <c r="B1115" s="194"/>
      <c r="C1115" s="194"/>
      <c r="D1115" s="194"/>
      <c r="E1115" s="194"/>
      <c r="F1115" s="194"/>
      <c r="G1115" s="194"/>
      <c r="H1115" s="194"/>
      <c r="I1115" s="194"/>
      <c r="J1115" s="194"/>
      <c r="K1115" s="194"/>
      <c r="L1115" s="194"/>
    </row>
    <row r="1116" spans="1:12" x14ac:dyDescent="0.3">
      <c r="A1116" s="194"/>
      <c r="B1116" s="194"/>
      <c r="C1116" s="194"/>
      <c r="D1116" s="194"/>
      <c r="E1116" s="194"/>
      <c r="F1116" s="194"/>
      <c r="G1116" s="194"/>
      <c r="H1116" s="194"/>
      <c r="I1116" s="194"/>
      <c r="J1116" s="194"/>
      <c r="K1116" s="194"/>
      <c r="L1116" s="194"/>
    </row>
    <row r="1117" spans="1:12" x14ac:dyDescent="0.3">
      <c r="A1117" s="194"/>
      <c r="B1117" s="194"/>
      <c r="C1117" s="194"/>
      <c r="D1117" s="194"/>
      <c r="E1117" s="194"/>
      <c r="F1117" s="194"/>
      <c r="G1117" s="194"/>
      <c r="H1117" s="194"/>
      <c r="I1117" s="194"/>
      <c r="J1117" s="194"/>
      <c r="K1117" s="194"/>
      <c r="L1117" s="194"/>
    </row>
    <row r="1118" spans="1:12" x14ac:dyDescent="0.3">
      <c r="A1118" s="194"/>
      <c r="B1118" s="194"/>
      <c r="C1118" s="194"/>
      <c r="D1118" s="194"/>
      <c r="E1118" s="194"/>
      <c r="F1118" s="194"/>
      <c r="G1118" s="194"/>
      <c r="H1118" s="194"/>
      <c r="I1118" s="194"/>
      <c r="J1118" s="194"/>
      <c r="K1118" s="194"/>
      <c r="L1118" s="194"/>
    </row>
    <row r="1119" spans="1:12" x14ac:dyDescent="0.3">
      <c r="A1119" s="194"/>
      <c r="B1119" s="194"/>
      <c r="C1119" s="194"/>
      <c r="D1119" s="194"/>
      <c r="E1119" s="194"/>
      <c r="F1119" s="194"/>
      <c r="G1119" s="194"/>
      <c r="H1119" s="194"/>
      <c r="I1119" s="194"/>
      <c r="J1119" s="194"/>
      <c r="K1119" s="194"/>
      <c r="L1119" s="194"/>
    </row>
    <row r="1120" spans="1:12" x14ac:dyDescent="0.3">
      <c r="A1120" s="194"/>
      <c r="B1120" s="194"/>
      <c r="C1120" s="194"/>
      <c r="D1120" s="194"/>
      <c r="E1120" s="194"/>
      <c r="F1120" s="194"/>
      <c r="G1120" s="194"/>
      <c r="H1120" s="194"/>
      <c r="I1120" s="194"/>
      <c r="J1120" s="194"/>
      <c r="K1120" s="194"/>
      <c r="L1120" s="194"/>
    </row>
    <row r="1121" spans="1:12" x14ac:dyDescent="0.3">
      <c r="A1121" s="194"/>
      <c r="B1121" s="194"/>
      <c r="C1121" s="194"/>
      <c r="D1121" s="194"/>
      <c r="E1121" s="194"/>
      <c r="F1121" s="194"/>
      <c r="G1121" s="194"/>
      <c r="H1121" s="194"/>
      <c r="I1121" s="194"/>
      <c r="J1121" s="194"/>
      <c r="K1121" s="194"/>
      <c r="L1121" s="194"/>
    </row>
    <row r="1122" spans="1:12" x14ac:dyDescent="0.3">
      <c r="A1122" s="194"/>
      <c r="B1122" s="194"/>
      <c r="C1122" s="194"/>
      <c r="D1122" s="194"/>
      <c r="E1122" s="194"/>
      <c r="F1122" s="194"/>
      <c r="G1122" s="194"/>
      <c r="H1122" s="194"/>
      <c r="I1122" s="194"/>
      <c r="J1122" s="194"/>
      <c r="K1122" s="194"/>
      <c r="L1122" s="194"/>
    </row>
    <row r="1123" spans="1:12" x14ac:dyDescent="0.3">
      <c r="A1123" s="194"/>
      <c r="B1123" s="194"/>
      <c r="C1123" s="194"/>
      <c r="D1123" s="194"/>
      <c r="E1123" s="194"/>
      <c r="F1123" s="194"/>
      <c r="G1123" s="194"/>
      <c r="H1123" s="194"/>
      <c r="I1123" s="194"/>
      <c r="J1123" s="194"/>
      <c r="K1123" s="194"/>
      <c r="L1123" s="194"/>
    </row>
    <row r="1124" spans="1:12" x14ac:dyDescent="0.3">
      <c r="A1124" s="194"/>
      <c r="B1124" s="194"/>
      <c r="C1124" s="194"/>
      <c r="D1124" s="194"/>
      <c r="E1124" s="194"/>
      <c r="F1124" s="194"/>
      <c r="G1124" s="194"/>
      <c r="H1124" s="194"/>
      <c r="I1124" s="194"/>
      <c r="J1124" s="194"/>
      <c r="K1124" s="194"/>
      <c r="L1124" s="194"/>
    </row>
    <row r="1125" spans="1:12" x14ac:dyDescent="0.3">
      <c r="A1125" s="194"/>
      <c r="B1125" s="194"/>
      <c r="C1125" s="194"/>
      <c r="D1125" s="194"/>
      <c r="E1125" s="194"/>
      <c r="F1125" s="194"/>
      <c r="G1125" s="194"/>
      <c r="H1125" s="194"/>
      <c r="I1125" s="194"/>
      <c r="J1125" s="194"/>
      <c r="K1125" s="194"/>
      <c r="L1125" s="194"/>
    </row>
    <row r="1126" spans="1:12" x14ac:dyDescent="0.3">
      <c r="A1126" s="194"/>
      <c r="B1126" s="194"/>
      <c r="C1126" s="194"/>
      <c r="D1126" s="194"/>
      <c r="E1126" s="194"/>
      <c r="F1126" s="194"/>
      <c r="G1126" s="194"/>
      <c r="H1126" s="194"/>
      <c r="I1126" s="194"/>
      <c r="J1126" s="194"/>
      <c r="K1126" s="194"/>
      <c r="L1126" s="194"/>
    </row>
    <row r="1127" spans="1:12" x14ac:dyDescent="0.3">
      <c r="A1127" s="194"/>
      <c r="B1127" s="194"/>
      <c r="C1127" s="194"/>
      <c r="D1127" s="194"/>
      <c r="E1127" s="194"/>
      <c r="F1127" s="194"/>
      <c r="G1127" s="194"/>
      <c r="H1127" s="194"/>
      <c r="I1127" s="194"/>
      <c r="J1127" s="194"/>
      <c r="K1127" s="194"/>
      <c r="L1127" s="194"/>
    </row>
    <row r="1128" spans="1:12" x14ac:dyDescent="0.3">
      <c r="A1128" s="194"/>
      <c r="B1128" s="194"/>
      <c r="C1128" s="194"/>
      <c r="D1128" s="194"/>
      <c r="E1128" s="194"/>
      <c r="F1128" s="194"/>
      <c r="G1128" s="194"/>
      <c r="H1128" s="194"/>
      <c r="I1128" s="194"/>
      <c r="J1128" s="194"/>
      <c r="K1128" s="194"/>
      <c r="L1128" s="194"/>
    </row>
    <row r="1129" spans="1:12" x14ac:dyDescent="0.3">
      <c r="A1129" s="194"/>
      <c r="B1129" s="194"/>
      <c r="C1129" s="194"/>
      <c r="D1129" s="194"/>
      <c r="E1129" s="194"/>
      <c r="F1129" s="194"/>
      <c r="G1129" s="194"/>
      <c r="H1129" s="194"/>
      <c r="I1129" s="194"/>
      <c r="J1129" s="194"/>
      <c r="K1129" s="194"/>
      <c r="L1129" s="194"/>
    </row>
    <row r="1130" spans="1:12" x14ac:dyDescent="0.3">
      <c r="A1130" s="194"/>
      <c r="B1130" s="194"/>
      <c r="C1130" s="194"/>
      <c r="D1130" s="194"/>
      <c r="E1130" s="194"/>
      <c r="F1130" s="194"/>
      <c r="G1130" s="194"/>
      <c r="H1130" s="194"/>
      <c r="I1130" s="194"/>
      <c r="J1130" s="194"/>
      <c r="K1130" s="194"/>
      <c r="L1130" s="194"/>
    </row>
    <row r="1131" spans="1:12" x14ac:dyDescent="0.3">
      <c r="A1131" s="194"/>
      <c r="B1131" s="194"/>
      <c r="C1131" s="194"/>
      <c r="D1131" s="194"/>
      <c r="E1131" s="194"/>
      <c r="F1131" s="194"/>
      <c r="G1131" s="194"/>
      <c r="H1131" s="194"/>
      <c r="I1131" s="194"/>
      <c r="J1131" s="194"/>
      <c r="K1131" s="194"/>
      <c r="L1131" s="194"/>
    </row>
    <row r="1132" spans="1:12" x14ac:dyDescent="0.3">
      <c r="A1132" s="194"/>
      <c r="B1132" s="194"/>
      <c r="C1132" s="194"/>
      <c r="D1132" s="194"/>
      <c r="E1132" s="194"/>
      <c r="F1132" s="194"/>
      <c r="G1132" s="194"/>
      <c r="H1132" s="194"/>
      <c r="I1132" s="194"/>
      <c r="J1132" s="194"/>
      <c r="K1132" s="194"/>
      <c r="L1132" s="194"/>
    </row>
    <row r="1133" spans="1:12" x14ac:dyDescent="0.3">
      <c r="A1133" s="194"/>
      <c r="B1133" s="194"/>
      <c r="C1133" s="194"/>
      <c r="D1133" s="194"/>
      <c r="E1133" s="194"/>
      <c r="F1133" s="194"/>
      <c r="G1133" s="194"/>
      <c r="H1133" s="194"/>
      <c r="I1133" s="194"/>
      <c r="J1133" s="194"/>
      <c r="K1133" s="194"/>
      <c r="L1133" s="194"/>
    </row>
    <row r="1134" spans="1:12" x14ac:dyDescent="0.3">
      <c r="A1134" s="194"/>
      <c r="B1134" s="194"/>
      <c r="C1134" s="194"/>
      <c r="D1134" s="194"/>
      <c r="E1134" s="194"/>
      <c r="F1134" s="194"/>
      <c r="G1134" s="194"/>
      <c r="H1134" s="194"/>
      <c r="I1134" s="194"/>
      <c r="J1134" s="194"/>
      <c r="K1134" s="194"/>
      <c r="L1134" s="194"/>
    </row>
    <row r="1135" spans="1:12" x14ac:dyDescent="0.3">
      <c r="A1135" s="194"/>
      <c r="B1135" s="194"/>
      <c r="C1135" s="194"/>
      <c r="D1135" s="194"/>
      <c r="E1135" s="194"/>
      <c r="F1135" s="194"/>
      <c r="G1135" s="194"/>
      <c r="H1135" s="194"/>
      <c r="I1135" s="194"/>
      <c r="J1135" s="194"/>
      <c r="K1135" s="194"/>
      <c r="L1135" s="194"/>
    </row>
    <row r="1136" spans="1:12" x14ac:dyDescent="0.3">
      <c r="A1136" s="194"/>
      <c r="B1136" s="194"/>
      <c r="C1136" s="194"/>
      <c r="D1136" s="194"/>
      <c r="E1136" s="194"/>
      <c r="F1136" s="194"/>
      <c r="G1136" s="194"/>
      <c r="H1136" s="194"/>
      <c r="I1136" s="194"/>
      <c r="J1136" s="194"/>
      <c r="K1136" s="194"/>
      <c r="L1136" s="194"/>
    </row>
    <row r="1137" spans="1:12" x14ac:dyDescent="0.3">
      <c r="A1137" s="194"/>
      <c r="B1137" s="194"/>
      <c r="C1137" s="194"/>
      <c r="D1137" s="194"/>
      <c r="E1137" s="194"/>
      <c r="F1137" s="194"/>
      <c r="G1137" s="194"/>
      <c r="H1137" s="194"/>
      <c r="I1137" s="194"/>
      <c r="J1137" s="194"/>
      <c r="K1137" s="194"/>
      <c r="L1137" s="194"/>
    </row>
    <row r="1138" spans="1:12" x14ac:dyDescent="0.3">
      <c r="A1138" s="194"/>
      <c r="B1138" s="194"/>
      <c r="C1138" s="194"/>
      <c r="D1138" s="194"/>
      <c r="E1138" s="194"/>
      <c r="F1138" s="194"/>
      <c r="G1138" s="194"/>
      <c r="H1138" s="194"/>
      <c r="I1138" s="194"/>
      <c r="J1138" s="194"/>
      <c r="K1138" s="194"/>
      <c r="L1138" s="194"/>
    </row>
    <row r="1139" spans="1:12" x14ac:dyDescent="0.3">
      <c r="A1139" s="194"/>
      <c r="B1139" s="194"/>
      <c r="C1139" s="194"/>
      <c r="D1139" s="194"/>
      <c r="E1139" s="194"/>
      <c r="F1139" s="194"/>
      <c r="G1139" s="194"/>
      <c r="H1139" s="194"/>
      <c r="I1139" s="194"/>
      <c r="J1139" s="194"/>
      <c r="K1139" s="194"/>
      <c r="L1139" s="194"/>
    </row>
    <row r="1140" spans="1:12" x14ac:dyDescent="0.3">
      <c r="A1140" s="194"/>
      <c r="B1140" s="194"/>
      <c r="C1140" s="194"/>
      <c r="D1140" s="194"/>
      <c r="E1140" s="194"/>
      <c r="F1140" s="194"/>
      <c r="G1140" s="194"/>
      <c r="H1140" s="194"/>
      <c r="I1140" s="194"/>
      <c r="J1140" s="194"/>
      <c r="K1140" s="194"/>
      <c r="L1140" s="194"/>
    </row>
    <row r="1141" spans="1:12" x14ac:dyDescent="0.3">
      <c r="A1141" s="194"/>
      <c r="B1141" s="194"/>
      <c r="C1141" s="194"/>
      <c r="D1141" s="194"/>
      <c r="E1141" s="194"/>
      <c r="F1141" s="194"/>
      <c r="G1141" s="194"/>
      <c r="H1141" s="194"/>
      <c r="I1141" s="194"/>
      <c r="J1141" s="194"/>
      <c r="K1141" s="194"/>
      <c r="L1141" s="194"/>
    </row>
    <row r="1142" spans="1:12" x14ac:dyDescent="0.3">
      <c r="A1142" s="194"/>
      <c r="B1142" s="194"/>
      <c r="C1142" s="194"/>
      <c r="D1142" s="194"/>
      <c r="E1142" s="194"/>
      <c r="F1142" s="194"/>
      <c r="G1142" s="194"/>
      <c r="H1142" s="194"/>
      <c r="I1142" s="194"/>
      <c r="J1142" s="194"/>
      <c r="K1142" s="194"/>
      <c r="L1142" s="194"/>
    </row>
    <row r="1143" spans="1:12" x14ac:dyDescent="0.3">
      <c r="A1143" s="194"/>
      <c r="B1143" s="194"/>
      <c r="C1143" s="194"/>
      <c r="D1143" s="194"/>
      <c r="E1143" s="194"/>
      <c r="F1143" s="194"/>
      <c r="G1143" s="194"/>
      <c r="H1143" s="194"/>
      <c r="I1143" s="194"/>
      <c r="J1143" s="194"/>
      <c r="K1143" s="194"/>
      <c r="L1143" s="194"/>
    </row>
    <row r="1144" spans="1:12" x14ac:dyDescent="0.3">
      <c r="A1144" s="194"/>
      <c r="B1144" s="194"/>
      <c r="C1144" s="194"/>
      <c r="D1144" s="194"/>
      <c r="E1144" s="194"/>
      <c r="F1144" s="194"/>
      <c r="G1144" s="194"/>
      <c r="H1144" s="194"/>
      <c r="I1144" s="194"/>
      <c r="J1144" s="194"/>
      <c r="K1144" s="194"/>
      <c r="L1144" s="194"/>
    </row>
    <row r="1145" spans="1:12" x14ac:dyDescent="0.3">
      <c r="A1145" s="194"/>
      <c r="B1145" s="194"/>
      <c r="C1145" s="194"/>
      <c r="D1145" s="194"/>
      <c r="E1145" s="194"/>
      <c r="F1145" s="194"/>
      <c r="G1145" s="194"/>
      <c r="H1145" s="194"/>
      <c r="I1145" s="194"/>
      <c r="J1145" s="194"/>
      <c r="K1145" s="194"/>
      <c r="L1145" s="194"/>
    </row>
    <row r="1146" spans="1:12" x14ac:dyDescent="0.3">
      <c r="A1146" s="194"/>
      <c r="B1146" s="194"/>
      <c r="C1146" s="194"/>
      <c r="D1146" s="194"/>
      <c r="E1146" s="194"/>
      <c r="F1146" s="194"/>
      <c r="G1146" s="194"/>
      <c r="H1146" s="194"/>
      <c r="I1146" s="194"/>
      <c r="J1146" s="194"/>
      <c r="K1146" s="194"/>
      <c r="L1146" s="194"/>
    </row>
    <row r="1147" spans="1:12" x14ac:dyDescent="0.3">
      <c r="A1147" s="194"/>
      <c r="B1147" s="194"/>
      <c r="C1147" s="194"/>
      <c r="D1147" s="194"/>
      <c r="E1147" s="194"/>
      <c r="F1147" s="194"/>
      <c r="G1147" s="194"/>
      <c r="H1147" s="194"/>
      <c r="I1147" s="194"/>
      <c r="J1147" s="194"/>
      <c r="K1147" s="194"/>
      <c r="L1147" s="194"/>
    </row>
    <row r="1148" spans="1:12" x14ac:dyDescent="0.3">
      <c r="A1148" s="194"/>
      <c r="B1148" s="194"/>
      <c r="C1148" s="194"/>
      <c r="D1148" s="194"/>
      <c r="E1148" s="194"/>
      <c r="F1148" s="194"/>
      <c r="G1148" s="194"/>
      <c r="H1148" s="194"/>
      <c r="I1148" s="194"/>
      <c r="J1148" s="194"/>
      <c r="K1148" s="194"/>
      <c r="L1148" s="194"/>
    </row>
    <row r="1149" spans="1:12" x14ac:dyDescent="0.3">
      <c r="A1149" s="194"/>
      <c r="B1149" s="194"/>
      <c r="C1149" s="194"/>
      <c r="D1149" s="194"/>
      <c r="E1149" s="194"/>
      <c r="F1149" s="194"/>
      <c r="G1149" s="194"/>
      <c r="H1149" s="194"/>
      <c r="I1149" s="194"/>
      <c r="J1149" s="194"/>
      <c r="K1149" s="194"/>
      <c r="L1149" s="194"/>
    </row>
    <row r="1150" spans="1:12" x14ac:dyDescent="0.3">
      <c r="A1150" s="194"/>
      <c r="B1150" s="194"/>
      <c r="C1150" s="194"/>
      <c r="D1150" s="194"/>
      <c r="E1150" s="194"/>
      <c r="F1150" s="194"/>
      <c r="G1150" s="194"/>
      <c r="H1150" s="194"/>
      <c r="I1150" s="194"/>
      <c r="J1150" s="194"/>
      <c r="K1150" s="194"/>
      <c r="L1150" s="194"/>
    </row>
    <row r="1151" spans="1:12" x14ac:dyDescent="0.3">
      <c r="A1151" s="194"/>
      <c r="B1151" s="194"/>
      <c r="C1151" s="194"/>
      <c r="D1151" s="194"/>
      <c r="E1151" s="194"/>
      <c r="F1151" s="194"/>
      <c r="G1151" s="194"/>
      <c r="H1151" s="194"/>
      <c r="I1151" s="194"/>
      <c r="J1151" s="194"/>
      <c r="K1151" s="194"/>
      <c r="L1151" s="194"/>
    </row>
    <row r="1152" spans="1:12" x14ac:dyDescent="0.3">
      <c r="A1152" s="194"/>
      <c r="B1152" s="194"/>
      <c r="C1152" s="194"/>
      <c r="D1152" s="194"/>
      <c r="E1152" s="194"/>
      <c r="F1152" s="194"/>
      <c r="G1152" s="194"/>
      <c r="H1152" s="194"/>
      <c r="I1152" s="194"/>
      <c r="J1152" s="194"/>
      <c r="K1152" s="194"/>
      <c r="L1152" s="194"/>
    </row>
    <row r="1153" spans="1:12" x14ac:dyDescent="0.3">
      <c r="A1153" s="194"/>
      <c r="B1153" s="194"/>
      <c r="C1153" s="194"/>
      <c r="D1153" s="194"/>
      <c r="E1153" s="194"/>
      <c r="F1153" s="194"/>
      <c r="G1153" s="194"/>
      <c r="H1153" s="194"/>
      <c r="I1153" s="194"/>
      <c r="J1153" s="194"/>
      <c r="K1153" s="194"/>
      <c r="L1153" s="194"/>
    </row>
    <row r="1154" spans="1:12" x14ac:dyDescent="0.3">
      <c r="A1154" s="194"/>
      <c r="B1154" s="194"/>
      <c r="C1154" s="194"/>
      <c r="D1154" s="194"/>
      <c r="E1154" s="194"/>
      <c r="F1154" s="194"/>
      <c r="G1154" s="194"/>
      <c r="H1154" s="194"/>
      <c r="I1154" s="194"/>
      <c r="J1154" s="194"/>
      <c r="K1154" s="194"/>
      <c r="L1154" s="194"/>
    </row>
    <row r="1155" spans="1:12" x14ac:dyDescent="0.3">
      <c r="A1155" s="194"/>
      <c r="B1155" s="194"/>
      <c r="C1155" s="194"/>
      <c r="D1155" s="194"/>
      <c r="E1155" s="194"/>
      <c r="F1155" s="194"/>
      <c r="G1155" s="194"/>
      <c r="H1155" s="194"/>
      <c r="I1155" s="194"/>
      <c r="J1155" s="194"/>
      <c r="K1155" s="194"/>
      <c r="L1155" s="194"/>
    </row>
    <row r="1156" spans="1:12" x14ac:dyDescent="0.3">
      <c r="A1156" s="194"/>
      <c r="B1156" s="194"/>
      <c r="C1156" s="194"/>
      <c r="D1156" s="194"/>
      <c r="E1156" s="194"/>
      <c r="F1156" s="194"/>
      <c r="G1156" s="194"/>
      <c r="H1156" s="194"/>
      <c r="I1156" s="194"/>
      <c r="J1156" s="194"/>
      <c r="K1156" s="194"/>
      <c r="L1156" s="194"/>
    </row>
    <row r="1157" spans="1:12" x14ac:dyDescent="0.3">
      <c r="A1157" s="194"/>
      <c r="B1157" s="194"/>
      <c r="C1157" s="194"/>
      <c r="D1157" s="194"/>
      <c r="E1157" s="194"/>
      <c r="F1157" s="194"/>
      <c r="G1157" s="194"/>
      <c r="H1157" s="194"/>
      <c r="I1157" s="194"/>
      <c r="J1157" s="194"/>
      <c r="K1157" s="194"/>
      <c r="L1157" s="194"/>
    </row>
    <row r="1158" spans="1:12" x14ac:dyDescent="0.3">
      <c r="A1158" s="194"/>
      <c r="B1158" s="194"/>
      <c r="C1158" s="194"/>
      <c r="D1158" s="194"/>
      <c r="E1158" s="194"/>
      <c r="F1158" s="194"/>
      <c r="G1158" s="194"/>
      <c r="H1158" s="194"/>
      <c r="I1158" s="194"/>
      <c r="J1158" s="194"/>
      <c r="K1158" s="194"/>
      <c r="L1158" s="194"/>
    </row>
    <row r="1159" spans="1:12" x14ac:dyDescent="0.3">
      <c r="A1159" s="194"/>
      <c r="B1159" s="194"/>
      <c r="C1159" s="194"/>
      <c r="D1159" s="194"/>
      <c r="E1159" s="194"/>
      <c r="F1159" s="194"/>
      <c r="G1159" s="194"/>
      <c r="H1159" s="194"/>
      <c r="I1159" s="194"/>
      <c r="J1159" s="194"/>
      <c r="K1159" s="194"/>
      <c r="L1159" s="194"/>
    </row>
    <row r="1160" spans="1:12" x14ac:dyDescent="0.3">
      <c r="A1160" s="194"/>
      <c r="B1160" s="194"/>
      <c r="C1160" s="194"/>
      <c r="D1160" s="194"/>
      <c r="E1160" s="194"/>
      <c r="F1160" s="194"/>
      <c r="G1160" s="194"/>
      <c r="H1160" s="194"/>
      <c r="I1160" s="194"/>
      <c r="J1160" s="194"/>
      <c r="K1160" s="194"/>
      <c r="L1160" s="194"/>
    </row>
    <row r="1161" spans="1:12" x14ac:dyDescent="0.3">
      <c r="A1161" s="194"/>
      <c r="B1161" s="194"/>
      <c r="C1161" s="194"/>
      <c r="D1161" s="194"/>
      <c r="E1161" s="194"/>
      <c r="F1161" s="194"/>
      <c r="G1161" s="194"/>
      <c r="H1161" s="194"/>
      <c r="I1161" s="194"/>
      <c r="J1161" s="194"/>
      <c r="K1161" s="194"/>
      <c r="L1161" s="194"/>
    </row>
    <row r="1162" spans="1:12" x14ac:dyDescent="0.3">
      <c r="A1162" s="194"/>
      <c r="B1162" s="194"/>
      <c r="C1162" s="194"/>
      <c r="D1162" s="194"/>
      <c r="E1162" s="194"/>
      <c r="F1162" s="194"/>
      <c r="G1162" s="194"/>
      <c r="H1162" s="194"/>
      <c r="I1162" s="194"/>
      <c r="J1162" s="194"/>
      <c r="K1162" s="194"/>
      <c r="L1162" s="194"/>
    </row>
    <row r="1163" spans="1:12" x14ac:dyDescent="0.3">
      <c r="A1163" s="194"/>
      <c r="B1163" s="194"/>
      <c r="C1163" s="194"/>
      <c r="D1163" s="194"/>
      <c r="E1163" s="194"/>
      <c r="F1163" s="194"/>
      <c r="G1163" s="194"/>
      <c r="H1163" s="194"/>
      <c r="I1163" s="194"/>
      <c r="J1163" s="194"/>
      <c r="K1163" s="194"/>
      <c r="L1163" s="194"/>
    </row>
    <row r="1164" spans="1:12" x14ac:dyDescent="0.3">
      <c r="A1164" s="194"/>
      <c r="B1164" s="194"/>
      <c r="C1164" s="194"/>
      <c r="D1164" s="194"/>
      <c r="E1164" s="194"/>
      <c r="F1164" s="194"/>
      <c r="G1164" s="194"/>
      <c r="H1164" s="194"/>
      <c r="I1164" s="194"/>
      <c r="J1164" s="194"/>
      <c r="K1164" s="194"/>
      <c r="L1164" s="194"/>
    </row>
    <row r="1165" spans="1:12" x14ac:dyDescent="0.3">
      <c r="A1165" s="194"/>
      <c r="B1165" s="194"/>
      <c r="C1165" s="194"/>
      <c r="D1165" s="194"/>
      <c r="E1165" s="194"/>
      <c r="F1165" s="194"/>
      <c r="G1165" s="194"/>
      <c r="H1165" s="194"/>
      <c r="I1165" s="194"/>
      <c r="J1165" s="194"/>
      <c r="K1165" s="194"/>
      <c r="L1165" s="194"/>
    </row>
    <row r="1166" spans="1:12" x14ac:dyDescent="0.3">
      <c r="A1166" s="194"/>
      <c r="B1166" s="194"/>
      <c r="C1166" s="194"/>
      <c r="D1166" s="194"/>
      <c r="E1166" s="194"/>
      <c r="F1166" s="194"/>
      <c r="G1166" s="194"/>
      <c r="H1166" s="194"/>
      <c r="I1166" s="194"/>
      <c r="J1166" s="194"/>
      <c r="K1166" s="194"/>
      <c r="L1166" s="194"/>
    </row>
    <row r="1167" spans="1:12" x14ac:dyDescent="0.3">
      <c r="A1167" s="194"/>
      <c r="B1167" s="194"/>
      <c r="C1167" s="194"/>
      <c r="D1167" s="194"/>
      <c r="E1167" s="194"/>
      <c r="F1167" s="194"/>
      <c r="G1167" s="194"/>
      <c r="H1167" s="194"/>
      <c r="I1167" s="194"/>
      <c r="J1167" s="194"/>
      <c r="K1167" s="194"/>
      <c r="L1167" s="194"/>
    </row>
    <row r="1168" spans="1:12" x14ac:dyDescent="0.3">
      <c r="A1168" s="194"/>
      <c r="B1168" s="194"/>
      <c r="C1168" s="194"/>
      <c r="D1168" s="194"/>
      <c r="E1168" s="194"/>
      <c r="F1168" s="194"/>
      <c r="G1168" s="194"/>
      <c r="H1168" s="194"/>
      <c r="I1168" s="194"/>
      <c r="J1168" s="194"/>
      <c r="K1168" s="194"/>
      <c r="L1168" s="194"/>
    </row>
    <row r="1169" spans="1:12" x14ac:dyDescent="0.3">
      <c r="A1169" s="194"/>
      <c r="B1169" s="194"/>
      <c r="C1169" s="194"/>
      <c r="D1169" s="194"/>
      <c r="E1169" s="194"/>
      <c r="F1169" s="194"/>
      <c r="G1169" s="194"/>
      <c r="H1169" s="194"/>
      <c r="I1169" s="194"/>
      <c r="J1169" s="194"/>
      <c r="K1169" s="194"/>
      <c r="L1169" s="194"/>
    </row>
    <row r="1170" spans="1:12" x14ac:dyDescent="0.3">
      <c r="A1170" s="194"/>
      <c r="B1170" s="194"/>
      <c r="C1170" s="194"/>
      <c r="D1170" s="194"/>
      <c r="E1170" s="194"/>
      <c r="F1170" s="194"/>
      <c r="G1170" s="194"/>
      <c r="H1170" s="194"/>
      <c r="I1170" s="194"/>
      <c r="J1170" s="194"/>
      <c r="K1170" s="194"/>
      <c r="L1170" s="194"/>
    </row>
    <row r="1171" spans="1:12" x14ac:dyDescent="0.3">
      <c r="A1171" s="194"/>
      <c r="B1171" s="194"/>
      <c r="C1171" s="194"/>
      <c r="D1171" s="194"/>
      <c r="E1171" s="194"/>
      <c r="F1171" s="194"/>
      <c r="G1171" s="194"/>
      <c r="H1171" s="194"/>
      <c r="I1171" s="194"/>
      <c r="J1171" s="194"/>
      <c r="K1171" s="194"/>
      <c r="L1171" s="194"/>
    </row>
    <row r="1172" spans="1:12" x14ac:dyDescent="0.3">
      <c r="A1172" s="194"/>
      <c r="B1172" s="194"/>
      <c r="C1172" s="194"/>
      <c r="D1172" s="194"/>
      <c r="E1172" s="194"/>
      <c r="F1172" s="194"/>
      <c r="G1172" s="194"/>
      <c r="H1172" s="194"/>
      <c r="I1172" s="194"/>
      <c r="J1172" s="194"/>
      <c r="K1172" s="194"/>
      <c r="L1172" s="194"/>
    </row>
    <row r="1173" spans="1:12" x14ac:dyDescent="0.3">
      <c r="A1173" s="194"/>
      <c r="B1173" s="194"/>
      <c r="C1173" s="194"/>
      <c r="D1173" s="194"/>
      <c r="E1173" s="194"/>
      <c r="F1173" s="194"/>
      <c r="G1173" s="194"/>
      <c r="H1173" s="194"/>
      <c r="I1173" s="194"/>
      <c r="J1173" s="194"/>
      <c r="K1173" s="194"/>
      <c r="L1173" s="194"/>
    </row>
    <row r="1174" spans="1:12" x14ac:dyDescent="0.3">
      <c r="A1174" s="194"/>
      <c r="B1174" s="194"/>
      <c r="C1174" s="194"/>
      <c r="D1174" s="194"/>
      <c r="E1174" s="194"/>
      <c r="F1174" s="194"/>
      <c r="G1174" s="194"/>
      <c r="H1174" s="194"/>
      <c r="I1174" s="194"/>
      <c r="J1174" s="194"/>
      <c r="K1174" s="194"/>
      <c r="L1174" s="194"/>
    </row>
    <row r="1175" spans="1:12" x14ac:dyDescent="0.3">
      <c r="A1175" s="194"/>
      <c r="B1175" s="194"/>
      <c r="C1175" s="194"/>
      <c r="D1175" s="194"/>
      <c r="E1175" s="194"/>
      <c r="F1175" s="194"/>
      <c r="G1175" s="194"/>
      <c r="H1175" s="194"/>
      <c r="I1175" s="194"/>
      <c r="J1175" s="194"/>
      <c r="K1175" s="194"/>
      <c r="L1175" s="194"/>
    </row>
    <row r="1176" spans="1:12" x14ac:dyDescent="0.3">
      <c r="A1176" s="194"/>
      <c r="B1176" s="194"/>
      <c r="C1176" s="194"/>
      <c r="D1176" s="194"/>
      <c r="E1176" s="194"/>
      <c r="F1176" s="194"/>
      <c r="G1176" s="194"/>
      <c r="H1176" s="194"/>
      <c r="I1176" s="194"/>
      <c r="J1176" s="194"/>
      <c r="K1176" s="194"/>
      <c r="L1176" s="194"/>
    </row>
    <row r="1177" spans="1:12" x14ac:dyDescent="0.3">
      <c r="A1177" s="194"/>
      <c r="B1177" s="194"/>
      <c r="C1177" s="194"/>
      <c r="D1177" s="194"/>
      <c r="E1177" s="194"/>
      <c r="F1177" s="194"/>
      <c r="G1177" s="194"/>
      <c r="H1177" s="194"/>
      <c r="I1177" s="194"/>
      <c r="J1177" s="194"/>
      <c r="K1177" s="194"/>
      <c r="L1177" s="194"/>
    </row>
    <row r="1178" spans="1:12" x14ac:dyDescent="0.3">
      <c r="A1178" s="194"/>
      <c r="B1178" s="194"/>
      <c r="C1178" s="194"/>
      <c r="D1178" s="194"/>
      <c r="E1178" s="194"/>
      <c r="F1178" s="194"/>
      <c r="G1178" s="194"/>
      <c r="H1178" s="194"/>
      <c r="I1178" s="194"/>
      <c r="J1178" s="194"/>
      <c r="K1178" s="194"/>
      <c r="L1178" s="194"/>
    </row>
    <row r="1179" spans="1:12" x14ac:dyDescent="0.3">
      <c r="A1179" s="194"/>
      <c r="B1179" s="194"/>
      <c r="C1179" s="194"/>
      <c r="D1179" s="194"/>
      <c r="E1179" s="194"/>
      <c r="F1179" s="194"/>
      <c r="G1179" s="194"/>
      <c r="H1179" s="194"/>
      <c r="I1179" s="194"/>
      <c r="J1179" s="194"/>
      <c r="K1179" s="194"/>
      <c r="L1179" s="194"/>
    </row>
    <row r="1180" spans="1:12" x14ac:dyDescent="0.3">
      <c r="A1180" s="194"/>
      <c r="B1180" s="194"/>
      <c r="C1180" s="194"/>
      <c r="D1180" s="194"/>
      <c r="E1180" s="194"/>
      <c r="F1180" s="194"/>
      <c r="G1180" s="194"/>
      <c r="H1180" s="194"/>
      <c r="I1180" s="194"/>
      <c r="J1180" s="194"/>
      <c r="K1180" s="194"/>
      <c r="L1180" s="194"/>
    </row>
    <row r="1181" spans="1:12" x14ac:dyDescent="0.3">
      <c r="A1181" s="194"/>
      <c r="B1181" s="194"/>
      <c r="C1181" s="194"/>
      <c r="D1181" s="194"/>
      <c r="E1181" s="194"/>
      <c r="F1181" s="194"/>
      <c r="G1181" s="194"/>
      <c r="H1181" s="194"/>
      <c r="I1181" s="194"/>
      <c r="J1181" s="194"/>
      <c r="K1181" s="194"/>
      <c r="L1181" s="194"/>
    </row>
    <row r="1182" spans="1:12" x14ac:dyDescent="0.3">
      <c r="A1182" s="194"/>
      <c r="B1182" s="194"/>
      <c r="C1182" s="194"/>
      <c r="D1182" s="194"/>
      <c r="E1182" s="194"/>
      <c r="F1182" s="194"/>
      <c r="G1182" s="194"/>
      <c r="H1182" s="194"/>
      <c r="I1182" s="194"/>
      <c r="J1182" s="194"/>
      <c r="K1182" s="194"/>
      <c r="L1182" s="194"/>
    </row>
    <row r="1183" spans="1:12" x14ac:dyDescent="0.3">
      <c r="A1183" s="194"/>
      <c r="B1183" s="194"/>
      <c r="C1183" s="194"/>
      <c r="D1183" s="194"/>
      <c r="E1183" s="194"/>
      <c r="F1183" s="194"/>
      <c r="G1183" s="194"/>
      <c r="H1183" s="194"/>
      <c r="I1183" s="194"/>
      <c r="J1183" s="194"/>
      <c r="K1183" s="194"/>
      <c r="L1183" s="194"/>
    </row>
    <row r="1184" spans="1:12" x14ac:dyDescent="0.3">
      <c r="A1184" s="194"/>
      <c r="B1184" s="194"/>
      <c r="C1184" s="194"/>
      <c r="D1184" s="194"/>
      <c r="E1184" s="194"/>
      <c r="F1184" s="194"/>
      <c r="G1184" s="194"/>
      <c r="H1184" s="194"/>
      <c r="I1184" s="194"/>
      <c r="J1184" s="194"/>
      <c r="K1184" s="194"/>
      <c r="L1184" s="194"/>
    </row>
    <row r="1185" spans="1:12" x14ac:dyDescent="0.3">
      <c r="A1185" s="194"/>
      <c r="B1185" s="194"/>
      <c r="C1185" s="194"/>
      <c r="D1185" s="194"/>
      <c r="E1185" s="194"/>
      <c r="F1185" s="194"/>
      <c r="G1185" s="194"/>
      <c r="H1185" s="194"/>
      <c r="I1185" s="194"/>
      <c r="J1185" s="194"/>
      <c r="K1185" s="194"/>
      <c r="L1185" s="194"/>
    </row>
    <row r="1186" spans="1:12" x14ac:dyDescent="0.3">
      <c r="A1186" s="194"/>
      <c r="B1186" s="194"/>
      <c r="C1186" s="194"/>
      <c r="D1186" s="194"/>
      <c r="E1186" s="194"/>
      <c r="F1186" s="194"/>
      <c r="G1186" s="194"/>
      <c r="H1186" s="194"/>
      <c r="I1186" s="194"/>
      <c r="J1186" s="194"/>
      <c r="K1186" s="194"/>
      <c r="L1186" s="194"/>
    </row>
    <row r="1187" spans="1:12" x14ac:dyDescent="0.3">
      <c r="A1187" s="194"/>
      <c r="B1187" s="194"/>
      <c r="C1187" s="194"/>
      <c r="D1187" s="194"/>
      <c r="E1187" s="194"/>
      <c r="F1187" s="194"/>
      <c r="G1187" s="194"/>
      <c r="H1187" s="194"/>
      <c r="I1187" s="194"/>
      <c r="J1187" s="194"/>
      <c r="K1187" s="194"/>
      <c r="L1187" s="194"/>
    </row>
    <row r="1188" spans="1:12" x14ac:dyDescent="0.3">
      <c r="A1188" s="194"/>
      <c r="B1188" s="194"/>
      <c r="C1188" s="194"/>
      <c r="D1188" s="194"/>
      <c r="E1188" s="194"/>
      <c r="F1188" s="194"/>
      <c r="G1188" s="194"/>
      <c r="H1188" s="194"/>
      <c r="I1188" s="194"/>
      <c r="J1188" s="194"/>
      <c r="K1188" s="194"/>
      <c r="L1188" s="194"/>
    </row>
    <row r="1189" spans="1:12" x14ac:dyDescent="0.3">
      <c r="A1189" s="194"/>
      <c r="B1189" s="194"/>
      <c r="C1189" s="194"/>
      <c r="D1189" s="194"/>
      <c r="E1189" s="194"/>
      <c r="F1189" s="194"/>
      <c r="G1189" s="194"/>
      <c r="H1189" s="194"/>
      <c r="I1189" s="194"/>
      <c r="J1189" s="194"/>
      <c r="K1189" s="194"/>
      <c r="L1189" s="194"/>
    </row>
    <row r="1190" spans="1:12" x14ac:dyDescent="0.3">
      <c r="A1190" s="194"/>
      <c r="B1190" s="194"/>
      <c r="C1190" s="194"/>
      <c r="D1190" s="194"/>
      <c r="E1190" s="194"/>
      <c r="F1190" s="194"/>
      <c r="G1190" s="194"/>
      <c r="H1190" s="194"/>
      <c r="I1190" s="194"/>
      <c r="J1190" s="194"/>
      <c r="K1190" s="194"/>
      <c r="L1190" s="194"/>
    </row>
    <row r="1191" spans="1:12" x14ac:dyDescent="0.3">
      <c r="A1191" s="194"/>
      <c r="B1191" s="194"/>
      <c r="C1191" s="194"/>
      <c r="D1191" s="194"/>
      <c r="E1191" s="194"/>
      <c r="F1191" s="194"/>
      <c r="G1191" s="194"/>
      <c r="H1191" s="194"/>
      <c r="I1191" s="194"/>
      <c r="J1191" s="194"/>
      <c r="K1191" s="194"/>
      <c r="L1191" s="194"/>
    </row>
    <row r="1192" spans="1:12" x14ac:dyDescent="0.3">
      <c r="A1192" s="194"/>
      <c r="B1192" s="194"/>
      <c r="C1192" s="194"/>
      <c r="D1192" s="194"/>
      <c r="E1192" s="194"/>
      <c r="F1192" s="194"/>
      <c r="G1192" s="194"/>
      <c r="H1192" s="194"/>
      <c r="I1192" s="194"/>
      <c r="J1192" s="194"/>
      <c r="K1192" s="194"/>
      <c r="L1192" s="194"/>
    </row>
    <row r="1193" spans="1:12" x14ac:dyDescent="0.3">
      <c r="A1193" s="194"/>
      <c r="B1193" s="194"/>
      <c r="C1193" s="194"/>
      <c r="D1193" s="194"/>
      <c r="E1193" s="194"/>
      <c r="F1193" s="194"/>
      <c r="G1193" s="194"/>
      <c r="H1193" s="194"/>
      <c r="I1193" s="194"/>
      <c r="J1193" s="194"/>
      <c r="K1193" s="194"/>
      <c r="L1193" s="194"/>
    </row>
    <row r="1194" spans="1:12" x14ac:dyDescent="0.3">
      <c r="A1194" s="194"/>
      <c r="B1194" s="194"/>
      <c r="C1194" s="194"/>
      <c r="D1194" s="194"/>
      <c r="E1194" s="194"/>
      <c r="F1194" s="194"/>
      <c r="G1194" s="194"/>
      <c r="H1194" s="194"/>
      <c r="I1194" s="194"/>
      <c r="J1194" s="194"/>
      <c r="K1194" s="194"/>
      <c r="L1194" s="194"/>
    </row>
    <row r="1195" spans="1:12" x14ac:dyDescent="0.3">
      <c r="A1195" s="194"/>
      <c r="B1195" s="194"/>
      <c r="C1195" s="194"/>
      <c r="D1195" s="194"/>
      <c r="E1195" s="194"/>
      <c r="F1195" s="194"/>
      <c r="G1195" s="194"/>
      <c r="H1195" s="194"/>
      <c r="I1195" s="194"/>
      <c r="J1195" s="194"/>
      <c r="K1195" s="194"/>
      <c r="L1195" s="194"/>
    </row>
    <row r="1196" spans="1:12" x14ac:dyDescent="0.3">
      <c r="A1196" s="194"/>
      <c r="B1196" s="194"/>
      <c r="C1196" s="194"/>
      <c r="D1196" s="194"/>
      <c r="E1196" s="194"/>
      <c r="F1196" s="194"/>
      <c r="G1196" s="194"/>
      <c r="H1196" s="194"/>
      <c r="I1196" s="194"/>
      <c r="J1196" s="194"/>
      <c r="K1196" s="194"/>
      <c r="L1196" s="194"/>
    </row>
    <row r="1197" spans="1:12" x14ac:dyDescent="0.3">
      <c r="A1197" s="194"/>
      <c r="B1197" s="194"/>
      <c r="C1197" s="194"/>
      <c r="D1197" s="194"/>
      <c r="E1197" s="194"/>
      <c r="F1197" s="194"/>
      <c r="G1197" s="194"/>
      <c r="H1197" s="194"/>
      <c r="I1197" s="194"/>
      <c r="J1197" s="194"/>
      <c r="K1197" s="194"/>
      <c r="L1197" s="194"/>
    </row>
    <row r="1198" spans="1:12" x14ac:dyDescent="0.3">
      <c r="A1198" s="194"/>
      <c r="B1198" s="194"/>
      <c r="C1198" s="194"/>
      <c r="D1198" s="194"/>
      <c r="E1198" s="194"/>
      <c r="F1198" s="194"/>
      <c r="G1198" s="194"/>
      <c r="H1198" s="194"/>
      <c r="I1198" s="194"/>
      <c r="J1198" s="194"/>
      <c r="K1198" s="194"/>
      <c r="L1198" s="194"/>
    </row>
    <row r="1199" spans="1:12" x14ac:dyDescent="0.3">
      <c r="A1199" s="194"/>
      <c r="B1199" s="194"/>
      <c r="C1199" s="194"/>
      <c r="D1199" s="194"/>
      <c r="E1199" s="194"/>
      <c r="F1199" s="194"/>
      <c r="G1199" s="194"/>
      <c r="H1199" s="194"/>
      <c r="I1199" s="194"/>
      <c r="J1199" s="194"/>
      <c r="K1199" s="194"/>
      <c r="L1199" s="194"/>
    </row>
    <row r="1200" spans="1:12" x14ac:dyDescent="0.3">
      <c r="A1200" s="194"/>
      <c r="B1200" s="194"/>
      <c r="C1200" s="194"/>
      <c r="D1200" s="194"/>
      <c r="E1200" s="194"/>
      <c r="F1200" s="194"/>
      <c r="G1200" s="194"/>
      <c r="H1200" s="194"/>
      <c r="I1200" s="194"/>
      <c r="J1200" s="194"/>
      <c r="K1200" s="194"/>
      <c r="L1200" s="194"/>
    </row>
    <row r="1201" spans="1:12" x14ac:dyDescent="0.3">
      <c r="A1201" s="194"/>
      <c r="B1201" s="194"/>
      <c r="C1201" s="194"/>
      <c r="D1201" s="194"/>
      <c r="E1201" s="194"/>
      <c r="F1201" s="194"/>
      <c r="G1201" s="194"/>
      <c r="H1201" s="194"/>
      <c r="I1201" s="194"/>
      <c r="J1201" s="194"/>
      <c r="K1201" s="194"/>
      <c r="L1201" s="194"/>
    </row>
    <row r="1202" spans="1:12" x14ac:dyDescent="0.3">
      <c r="A1202" s="194"/>
      <c r="B1202" s="194"/>
      <c r="C1202" s="194"/>
      <c r="D1202" s="194"/>
      <c r="E1202" s="194"/>
      <c r="F1202" s="194"/>
      <c r="G1202" s="194"/>
      <c r="H1202" s="194"/>
      <c r="I1202" s="194"/>
      <c r="J1202" s="194"/>
      <c r="K1202" s="194"/>
      <c r="L1202" s="194"/>
    </row>
    <row r="1203" spans="1:12" x14ac:dyDescent="0.3">
      <c r="A1203" s="194"/>
      <c r="B1203" s="194"/>
      <c r="C1203" s="194"/>
      <c r="D1203" s="194"/>
      <c r="E1203" s="194"/>
      <c r="F1203" s="194"/>
      <c r="G1203" s="194"/>
      <c r="H1203" s="194"/>
      <c r="I1203" s="194"/>
      <c r="J1203" s="194"/>
      <c r="K1203" s="194"/>
      <c r="L1203" s="194"/>
    </row>
    <row r="1204" spans="1:12" x14ac:dyDescent="0.3">
      <c r="A1204" s="194"/>
      <c r="B1204" s="194"/>
      <c r="C1204" s="194"/>
      <c r="D1204" s="194"/>
      <c r="E1204" s="194"/>
      <c r="F1204" s="194"/>
      <c r="G1204" s="194"/>
      <c r="H1204" s="194"/>
      <c r="I1204" s="194"/>
      <c r="J1204" s="194"/>
      <c r="K1204" s="194"/>
      <c r="L1204" s="194"/>
    </row>
    <row r="1205" spans="1:12" x14ac:dyDescent="0.3">
      <c r="A1205" s="194"/>
      <c r="B1205" s="194"/>
      <c r="C1205" s="194"/>
      <c r="D1205" s="194"/>
      <c r="E1205" s="194"/>
      <c r="F1205" s="194"/>
      <c r="G1205" s="194"/>
      <c r="H1205" s="194"/>
      <c r="I1205" s="194"/>
      <c r="J1205" s="194"/>
      <c r="K1205" s="194"/>
      <c r="L1205" s="194"/>
    </row>
    <row r="1206" spans="1:12" x14ac:dyDescent="0.3">
      <c r="A1206" s="194"/>
      <c r="B1206" s="194"/>
      <c r="C1206" s="194"/>
      <c r="D1206" s="194"/>
      <c r="E1206" s="194"/>
      <c r="F1206" s="194"/>
      <c r="G1206" s="194"/>
      <c r="H1206" s="194"/>
      <c r="I1206" s="194"/>
      <c r="J1206" s="194"/>
      <c r="K1206" s="194"/>
      <c r="L1206" s="194"/>
    </row>
    <row r="1207" spans="1:12" x14ac:dyDescent="0.3">
      <c r="A1207" s="194"/>
      <c r="B1207" s="194"/>
      <c r="C1207" s="194"/>
      <c r="D1207" s="194"/>
      <c r="E1207" s="194"/>
      <c r="F1207" s="194"/>
      <c r="G1207" s="194"/>
      <c r="H1207" s="194"/>
      <c r="I1207" s="194"/>
      <c r="J1207" s="194"/>
      <c r="K1207" s="194"/>
      <c r="L1207" s="194"/>
    </row>
    <row r="1208" spans="1:12" x14ac:dyDescent="0.3">
      <c r="A1208" s="194"/>
      <c r="B1208" s="194"/>
      <c r="C1208" s="194"/>
      <c r="D1208" s="194"/>
      <c r="E1208" s="194"/>
      <c r="F1208" s="194"/>
      <c r="G1208" s="194"/>
      <c r="H1208" s="194"/>
      <c r="I1208" s="194"/>
      <c r="J1208" s="194"/>
      <c r="K1208" s="194"/>
      <c r="L1208" s="194"/>
    </row>
    <row r="1209" spans="1:12" x14ac:dyDescent="0.3">
      <c r="A1209" s="194"/>
      <c r="B1209" s="194"/>
      <c r="C1209" s="194"/>
      <c r="D1209" s="194"/>
      <c r="E1209" s="194"/>
      <c r="F1209" s="194"/>
      <c r="G1209" s="194"/>
      <c r="H1209" s="194"/>
      <c r="I1209" s="194"/>
      <c r="J1209" s="194"/>
      <c r="K1209" s="194"/>
      <c r="L1209" s="194"/>
    </row>
    <row r="1210" spans="1:12" x14ac:dyDescent="0.3">
      <c r="A1210" s="194"/>
      <c r="B1210" s="194"/>
      <c r="C1210" s="194"/>
      <c r="D1210" s="194"/>
      <c r="E1210" s="194"/>
      <c r="F1210" s="194"/>
      <c r="G1210" s="194"/>
      <c r="H1210" s="194"/>
      <c r="I1210" s="194"/>
      <c r="J1210" s="194"/>
      <c r="K1210" s="194"/>
      <c r="L1210" s="194"/>
    </row>
    <row r="1211" spans="1:12" x14ac:dyDescent="0.3">
      <c r="A1211" s="194"/>
      <c r="B1211" s="194"/>
      <c r="C1211" s="194"/>
      <c r="D1211" s="194"/>
      <c r="E1211" s="194"/>
      <c r="F1211" s="194"/>
      <c r="G1211" s="194"/>
      <c r="H1211" s="194"/>
      <c r="I1211" s="194"/>
      <c r="J1211" s="194"/>
      <c r="K1211" s="194"/>
      <c r="L1211" s="194"/>
    </row>
    <row r="1212" spans="1:12" x14ac:dyDescent="0.3">
      <c r="A1212" s="194"/>
      <c r="B1212" s="194"/>
      <c r="C1212" s="194"/>
      <c r="D1212" s="194"/>
      <c r="E1212" s="194"/>
      <c r="F1212" s="194"/>
      <c r="G1212" s="194"/>
      <c r="H1212" s="194"/>
      <c r="I1212" s="194"/>
      <c r="J1212" s="194"/>
      <c r="K1212" s="194"/>
      <c r="L1212" s="194"/>
    </row>
    <row r="1213" spans="1:12" x14ac:dyDescent="0.3">
      <c r="A1213" s="194"/>
      <c r="B1213" s="194"/>
      <c r="C1213" s="194"/>
      <c r="D1213" s="194"/>
      <c r="E1213" s="194"/>
      <c r="F1213" s="194"/>
      <c r="G1213" s="194"/>
      <c r="H1213" s="194"/>
      <c r="I1213" s="194"/>
      <c r="J1213" s="194"/>
      <c r="K1213" s="194"/>
      <c r="L1213" s="194"/>
    </row>
    <row r="1214" spans="1:12" x14ac:dyDescent="0.3">
      <c r="A1214" s="194"/>
      <c r="B1214" s="194"/>
      <c r="C1214" s="194"/>
      <c r="D1214" s="194"/>
      <c r="E1214" s="194"/>
      <c r="F1214" s="194"/>
      <c r="G1214" s="194"/>
      <c r="H1214" s="194"/>
      <c r="I1214" s="194"/>
      <c r="J1214" s="194"/>
      <c r="K1214" s="194"/>
      <c r="L1214" s="194"/>
    </row>
    <row r="1215" spans="1:12" x14ac:dyDescent="0.3">
      <c r="A1215" s="194"/>
      <c r="B1215" s="194"/>
      <c r="C1215" s="194"/>
      <c r="D1215" s="194"/>
      <c r="E1215" s="194"/>
      <c r="F1215" s="194"/>
      <c r="G1215" s="194"/>
      <c r="H1215" s="194"/>
      <c r="I1215" s="194"/>
      <c r="J1215" s="194"/>
      <c r="K1215" s="194"/>
      <c r="L1215" s="194"/>
    </row>
    <row r="1216" spans="1:12" x14ac:dyDescent="0.3">
      <c r="A1216" s="194"/>
      <c r="B1216" s="194"/>
      <c r="C1216" s="194"/>
      <c r="D1216" s="194"/>
      <c r="E1216" s="194"/>
      <c r="F1216" s="194"/>
      <c r="G1216" s="194"/>
      <c r="H1216" s="194"/>
      <c r="I1216" s="194"/>
      <c r="J1216" s="194"/>
      <c r="K1216" s="194"/>
      <c r="L1216" s="194"/>
    </row>
    <row r="1217" spans="1:12" x14ac:dyDescent="0.3">
      <c r="A1217" s="194"/>
      <c r="B1217" s="194"/>
      <c r="C1217" s="194"/>
      <c r="D1217" s="194"/>
      <c r="E1217" s="194"/>
      <c r="F1217" s="194"/>
      <c r="G1217" s="194"/>
      <c r="H1217" s="194"/>
      <c r="I1217" s="194"/>
      <c r="J1217" s="194"/>
      <c r="K1217" s="194"/>
      <c r="L1217" s="194"/>
    </row>
    <row r="1218" spans="1:12" x14ac:dyDescent="0.3">
      <c r="A1218" s="194"/>
      <c r="B1218" s="194"/>
      <c r="C1218" s="194"/>
      <c r="D1218" s="194"/>
      <c r="E1218" s="194"/>
      <c r="F1218" s="194"/>
      <c r="G1218" s="194"/>
      <c r="H1218" s="194"/>
      <c r="I1218" s="194"/>
      <c r="J1218" s="194"/>
      <c r="K1218" s="194"/>
      <c r="L1218" s="194"/>
    </row>
    <row r="1219" spans="1:12" x14ac:dyDescent="0.3">
      <c r="A1219" s="194"/>
      <c r="B1219" s="194"/>
      <c r="C1219" s="194"/>
      <c r="D1219" s="194"/>
      <c r="E1219" s="194"/>
      <c r="F1219" s="194"/>
      <c r="G1219" s="194"/>
      <c r="H1219" s="194"/>
      <c r="I1219" s="194"/>
      <c r="J1219" s="194"/>
      <c r="K1219" s="194"/>
      <c r="L1219" s="194"/>
    </row>
    <row r="1220" spans="1:12" x14ac:dyDescent="0.3">
      <c r="A1220" s="194"/>
      <c r="B1220" s="194"/>
      <c r="C1220" s="194"/>
      <c r="D1220" s="194"/>
      <c r="E1220" s="194"/>
      <c r="F1220" s="194"/>
      <c r="G1220" s="194"/>
      <c r="H1220" s="194"/>
      <c r="I1220" s="194"/>
      <c r="J1220" s="194"/>
      <c r="K1220" s="194"/>
      <c r="L1220" s="194"/>
    </row>
    <row r="1221" spans="1:12" x14ac:dyDescent="0.3">
      <c r="A1221" s="194"/>
      <c r="B1221" s="194"/>
      <c r="C1221" s="194"/>
      <c r="D1221" s="194"/>
      <c r="E1221" s="194"/>
      <c r="F1221" s="194"/>
      <c r="G1221" s="194"/>
      <c r="H1221" s="194"/>
      <c r="I1221" s="194"/>
      <c r="J1221" s="194"/>
      <c r="K1221" s="194"/>
      <c r="L1221" s="194"/>
    </row>
    <row r="1222" spans="1:12" x14ac:dyDescent="0.3">
      <c r="A1222" s="194"/>
      <c r="B1222" s="194"/>
      <c r="C1222" s="194"/>
      <c r="D1222" s="194"/>
      <c r="E1222" s="194"/>
      <c r="F1222" s="194"/>
      <c r="G1222" s="194"/>
      <c r="H1222" s="194"/>
      <c r="I1222" s="194"/>
      <c r="J1222" s="194"/>
      <c r="K1222" s="194"/>
      <c r="L1222" s="194"/>
    </row>
    <row r="1223" spans="1:12" x14ac:dyDescent="0.3">
      <c r="A1223" s="194"/>
      <c r="B1223" s="194"/>
      <c r="C1223" s="194"/>
      <c r="D1223" s="194"/>
      <c r="E1223" s="194"/>
      <c r="F1223" s="194"/>
      <c r="G1223" s="194"/>
      <c r="H1223" s="194"/>
      <c r="I1223" s="194"/>
      <c r="J1223" s="194"/>
      <c r="K1223" s="194"/>
      <c r="L1223" s="194"/>
    </row>
    <row r="1224" spans="1:12" x14ac:dyDescent="0.3">
      <c r="A1224" s="194"/>
      <c r="B1224" s="194"/>
      <c r="C1224" s="194"/>
      <c r="D1224" s="194"/>
      <c r="E1224" s="194"/>
      <c r="F1224" s="194"/>
      <c r="G1224" s="194"/>
      <c r="H1224" s="194"/>
      <c r="I1224" s="194"/>
      <c r="J1224" s="194"/>
      <c r="K1224" s="194"/>
      <c r="L1224" s="194"/>
    </row>
    <row r="1225" spans="1:12" x14ac:dyDescent="0.3">
      <c r="A1225" s="194"/>
      <c r="B1225" s="194"/>
      <c r="C1225" s="194"/>
      <c r="D1225" s="194"/>
      <c r="E1225" s="194"/>
      <c r="F1225" s="194"/>
      <c r="G1225" s="194"/>
      <c r="H1225" s="194"/>
      <c r="I1225" s="194"/>
      <c r="J1225" s="194"/>
      <c r="K1225" s="194"/>
      <c r="L1225" s="194"/>
    </row>
    <row r="1226" spans="1:12" x14ac:dyDescent="0.3">
      <c r="A1226" s="194"/>
      <c r="B1226" s="194"/>
      <c r="C1226" s="194"/>
      <c r="D1226" s="194"/>
      <c r="E1226" s="194"/>
      <c r="F1226" s="194"/>
      <c r="G1226" s="194"/>
      <c r="H1226" s="194"/>
      <c r="I1226" s="194"/>
      <c r="J1226" s="194"/>
      <c r="K1226" s="194"/>
      <c r="L1226" s="194"/>
    </row>
    <row r="1227" spans="1:12" x14ac:dyDescent="0.3">
      <c r="A1227" s="194"/>
      <c r="B1227" s="194"/>
      <c r="C1227" s="194"/>
      <c r="D1227" s="194"/>
      <c r="E1227" s="194"/>
      <c r="F1227" s="194"/>
      <c r="G1227" s="194"/>
      <c r="H1227" s="194"/>
      <c r="I1227" s="194"/>
      <c r="J1227" s="194"/>
      <c r="K1227" s="194"/>
      <c r="L1227" s="194"/>
    </row>
    <row r="1228" spans="1:12" x14ac:dyDescent="0.3">
      <c r="A1228" s="194"/>
      <c r="B1228" s="194"/>
      <c r="C1228" s="194"/>
      <c r="D1228" s="194"/>
      <c r="E1228" s="194"/>
      <c r="F1228" s="194"/>
      <c r="G1228" s="194"/>
      <c r="H1228" s="194"/>
      <c r="I1228" s="194"/>
      <c r="J1228" s="194"/>
      <c r="K1228" s="194"/>
      <c r="L1228" s="194"/>
    </row>
    <row r="1229" spans="1:12" x14ac:dyDescent="0.3">
      <c r="A1229" s="194"/>
      <c r="B1229" s="194"/>
      <c r="C1229" s="194"/>
      <c r="D1229" s="194"/>
      <c r="E1229" s="194"/>
      <c r="F1229" s="194"/>
      <c r="G1229" s="194"/>
      <c r="H1229" s="194"/>
      <c r="I1229" s="194"/>
      <c r="J1229" s="194"/>
      <c r="K1229" s="194"/>
      <c r="L1229" s="194"/>
    </row>
    <row r="1230" spans="1:12" x14ac:dyDescent="0.3">
      <c r="A1230" s="194"/>
      <c r="B1230" s="194"/>
      <c r="C1230" s="194"/>
      <c r="D1230" s="194"/>
      <c r="E1230" s="194"/>
      <c r="F1230" s="194"/>
      <c r="G1230" s="194"/>
      <c r="H1230" s="194"/>
      <c r="I1230" s="194"/>
      <c r="J1230" s="194"/>
      <c r="K1230" s="194"/>
      <c r="L1230" s="194"/>
    </row>
    <row r="1231" spans="1:12" x14ac:dyDescent="0.3">
      <c r="A1231" s="194"/>
      <c r="B1231" s="194"/>
      <c r="C1231" s="194"/>
      <c r="D1231" s="194"/>
      <c r="E1231" s="194"/>
      <c r="F1231" s="194"/>
      <c r="G1231" s="194"/>
      <c r="H1231" s="194"/>
      <c r="I1231" s="194"/>
      <c r="J1231" s="194"/>
      <c r="K1231" s="194"/>
      <c r="L1231" s="194"/>
    </row>
    <row r="1232" spans="1:12" x14ac:dyDescent="0.3">
      <c r="A1232" s="194"/>
      <c r="B1232" s="194"/>
      <c r="C1232" s="194"/>
      <c r="D1232" s="194"/>
      <c r="E1232" s="194"/>
      <c r="F1232" s="194"/>
      <c r="G1232" s="194"/>
      <c r="H1232" s="194"/>
      <c r="I1232" s="194"/>
      <c r="J1232" s="194"/>
      <c r="K1232" s="194"/>
      <c r="L1232" s="194"/>
    </row>
    <row r="1233" spans="1:12" x14ac:dyDescent="0.3">
      <c r="A1233" s="194"/>
      <c r="B1233" s="194"/>
      <c r="C1233" s="194"/>
      <c r="D1233" s="194"/>
      <c r="E1233" s="194"/>
      <c r="F1233" s="194"/>
      <c r="G1233" s="194"/>
      <c r="H1233" s="194"/>
      <c r="I1233" s="194"/>
      <c r="J1233" s="194"/>
      <c r="K1233" s="194"/>
      <c r="L1233" s="194"/>
    </row>
    <row r="1234" spans="1:12" x14ac:dyDescent="0.3">
      <c r="A1234" s="194"/>
      <c r="B1234" s="194"/>
      <c r="C1234" s="194"/>
      <c r="D1234" s="194"/>
      <c r="E1234" s="194"/>
      <c r="F1234" s="194"/>
      <c r="G1234" s="194"/>
      <c r="H1234" s="194"/>
      <c r="I1234" s="194"/>
      <c r="J1234" s="194"/>
      <c r="K1234" s="194"/>
      <c r="L1234" s="194"/>
    </row>
    <row r="1235" spans="1:12" x14ac:dyDescent="0.3">
      <c r="A1235" s="194"/>
      <c r="B1235" s="194"/>
      <c r="C1235" s="194"/>
      <c r="D1235" s="194"/>
      <c r="E1235" s="194"/>
      <c r="F1235" s="194"/>
      <c r="G1235" s="194"/>
      <c r="H1235" s="194"/>
      <c r="I1235" s="194"/>
      <c r="J1235" s="194"/>
      <c r="K1235" s="194"/>
      <c r="L1235" s="194"/>
    </row>
    <row r="1236" spans="1:12" x14ac:dyDescent="0.3">
      <c r="A1236" s="194"/>
      <c r="B1236" s="194"/>
      <c r="C1236" s="194"/>
      <c r="D1236" s="194"/>
      <c r="E1236" s="194"/>
      <c r="F1236" s="194"/>
      <c r="G1236" s="194"/>
      <c r="H1236" s="194"/>
      <c r="I1236" s="194"/>
      <c r="J1236" s="194"/>
      <c r="K1236" s="194"/>
      <c r="L1236" s="194"/>
    </row>
    <row r="1237" spans="1:12" x14ac:dyDescent="0.3">
      <c r="A1237" s="194"/>
      <c r="B1237" s="194"/>
      <c r="C1237" s="194"/>
      <c r="D1237" s="194"/>
      <c r="E1237" s="194"/>
      <c r="F1237" s="194"/>
      <c r="G1237" s="194"/>
      <c r="H1237" s="194"/>
      <c r="I1237" s="194"/>
      <c r="J1237" s="194"/>
      <c r="K1237" s="194"/>
      <c r="L1237" s="194"/>
    </row>
    <row r="1238" spans="1:12" x14ac:dyDescent="0.3">
      <c r="A1238" s="194"/>
      <c r="B1238" s="194"/>
      <c r="C1238" s="194"/>
      <c r="D1238" s="194"/>
      <c r="E1238" s="194"/>
      <c r="F1238" s="194"/>
      <c r="G1238" s="194"/>
      <c r="H1238" s="194"/>
      <c r="I1238" s="194"/>
      <c r="J1238" s="194"/>
      <c r="K1238" s="194"/>
      <c r="L1238" s="194"/>
    </row>
    <row r="1239" spans="1:12" x14ac:dyDescent="0.3">
      <c r="A1239" s="194"/>
      <c r="B1239" s="194"/>
      <c r="C1239" s="194"/>
      <c r="D1239" s="194"/>
      <c r="E1239" s="194"/>
      <c r="F1239" s="194"/>
      <c r="G1239" s="194"/>
      <c r="H1239" s="194"/>
      <c r="I1239" s="194"/>
      <c r="J1239" s="194"/>
      <c r="K1239" s="194"/>
      <c r="L1239" s="194"/>
    </row>
    <row r="1240" spans="1:12" x14ac:dyDescent="0.3">
      <c r="A1240" s="194"/>
      <c r="B1240" s="194"/>
      <c r="C1240" s="194"/>
      <c r="D1240" s="194"/>
      <c r="E1240" s="194"/>
      <c r="F1240" s="194"/>
      <c r="G1240" s="194"/>
      <c r="H1240" s="194"/>
      <c r="I1240" s="194"/>
      <c r="J1240" s="194"/>
      <c r="K1240" s="194"/>
      <c r="L1240" s="194"/>
    </row>
    <row r="1241" spans="1:12" x14ac:dyDescent="0.3">
      <c r="A1241" s="194"/>
      <c r="B1241" s="194"/>
      <c r="C1241" s="194"/>
      <c r="D1241" s="194"/>
      <c r="E1241" s="194"/>
      <c r="F1241" s="194"/>
      <c r="G1241" s="194"/>
      <c r="H1241" s="194"/>
      <c r="I1241" s="194"/>
      <c r="J1241" s="194"/>
      <c r="K1241" s="194"/>
      <c r="L1241" s="194"/>
    </row>
    <row r="1242" spans="1:12" x14ac:dyDescent="0.3">
      <c r="A1242" s="194"/>
      <c r="B1242" s="194"/>
      <c r="C1242" s="194"/>
      <c r="D1242" s="194"/>
      <c r="E1242" s="194"/>
      <c r="F1242" s="194"/>
      <c r="G1242" s="194"/>
      <c r="H1242" s="194"/>
      <c r="I1242" s="194"/>
      <c r="J1242" s="194"/>
      <c r="K1242" s="194"/>
      <c r="L1242" s="194"/>
    </row>
    <row r="1243" spans="1:12" x14ac:dyDescent="0.3">
      <c r="A1243" s="194"/>
      <c r="B1243" s="194"/>
      <c r="C1243" s="194"/>
      <c r="D1243" s="194"/>
      <c r="E1243" s="194"/>
      <c r="F1243" s="194"/>
      <c r="G1243" s="194"/>
      <c r="H1243" s="194"/>
      <c r="I1243" s="194"/>
      <c r="J1243" s="194"/>
      <c r="K1243" s="194"/>
      <c r="L1243" s="194"/>
    </row>
    <row r="1244" spans="1:12" x14ac:dyDescent="0.3">
      <c r="A1244" s="194"/>
      <c r="B1244" s="194"/>
      <c r="C1244" s="194"/>
      <c r="D1244" s="194"/>
      <c r="E1244" s="194"/>
      <c r="F1244" s="194"/>
      <c r="G1244" s="194"/>
      <c r="H1244" s="194"/>
      <c r="I1244" s="194"/>
      <c r="J1244" s="194"/>
      <c r="K1244" s="194"/>
      <c r="L1244" s="194"/>
    </row>
    <row r="1245" spans="1:12" x14ac:dyDescent="0.3">
      <c r="A1245" s="194"/>
      <c r="B1245" s="194"/>
      <c r="C1245" s="194"/>
      <c r="D1245" s="194"/>
      <c r="E1245" s="194"/>
      <c r="F1245" s="194"/>
      <c r="G1245" s="194"/>
      <c r="H1245" s="194"/>
      <c r="I1245" s="194"/>
      <c r="J1245" s="194"/>
      <c r="K1245" s="194"/>
      <c r="L1245" s="194"/>
    </row>
    <row r="1246" spans="1:12" x14ac:dyDescent="0.3">
      <c r="A1246" s="194"/>
      <c r="B1246" s="194"/>
      <c r="C1246" s="194"/>
      <c r="D1246" s="194"/>
      <c r="E1246" s="194"/>
      <c r="F1246" s="194"/>
      <c r="G1246" s="194"/>
      <c r="H1246" s="194"/>
      <c r="I1246" s="194"/>
      <c r="J1246" s="194"/>
      <c r="K1246" s="194"/>
      <c r="L1246" s="194"/>
    </row>
    <row r="1247" spans="1:12" x14ac:dyDescent="0.3">
      <c r="A1247" s="194"/>
      <c r="B1247" s="194"/>
      <c r="C1247" s="194"/>
      <c r="D1247" s="194"/>
      <c r="E1247" s="194"/>
      <c r="F1247" s="194"/>
      <c r="G1247" s="194"/>
      <c r="H1247" s="194"/>
      <c r="I1247" s="194"/>
      <c r="J1247" s="194"/>
      <c r="K1247" s="194"/>
      <c r="L1247" s="194"/>
    </row>
    <row r="1248" spans="1:12" x14ac:dyDescent="0.3">
      <c r="A1248" s="194"/>
      <c r="B1248" s="194"/>
      <c r="C1248" s="194"/>
      <c r="D1248" s="194"/>
      <c r="E1248" s="194"/>
      <c r="F1248" s="194"/>
      <c r="G1248" s="194"/>
      <c r="H1248" s="194"/>
      <c r="I1248" s="194"/>
      <c r="J1248" s="194"/>
      <c r="K1248" s="194"/>
      <c r="L1248" s="194"/>
    </row>
    <row r="1249" spans="1:12" x14ac:dyDescent="0.3">
      <c r="A1249" s="194"/>
      <c r="B1249" s="194"/>
      <c r="C1249" s="194"/>
      <c r="D1249" s="194"/>
      <c r="E1249" s="194"/>
      <c r="F1249" s="194"/>
      <c r="G1249" s="194"/>
      <c r="H1249" s="194"/>
      <c r="I1249" s="194"/>
      <c r="J1249" s="194"/>
      <c r="K1249" s="194"/>
      <c r="L1249" s="194"/>
    </row>
    <row r="1250" spans="1:12" x14ac:dyDescent="0.3">
      <c r="A1250" s="194"/>
      <c r="B1250" s="194"/>
      <c r="C1250" s="194"/>
      <c r="D1250" s="194"/>
      <c r="E1250" s="194"/>
      <c r="F1250" s="194"/>
      <c r="G1250" s="194"/>
      <c r="H1250" s="194"/>
      <c r="I1250" s="194"/>
      <c r="J1250" s="194"/>
      <c r="K1250" s="194"/>
      <c r="L1250" s="194"/>
    </row>
    <row r="1251" spans="1:12" x14ac:dyDescent="0.3">
      <c r="A1251" s="194"/>
      <c r="B1251" s="194"/>
      <c r="C1251" s="194"/>
      <c r="D1251" s="194"/>
      <c r="E1251" s="194"/>
      <c r="F1251" s="194"/>
      <c r="G1251" s="194"/>
      <c r="H1251" s="194"/>
      <c r="I1251" s="194"/>
      <c r="J1251" s="194"/>
      <c r="K1251" s="194"/>
      <c r="L1251" s="194"/>
    </row>
    <row r="1252" spans="1:12" x14ac:dyDescent="0.3">
      <c r="A1252" s="194"/>
      <c r="B1252" s="194"/>
      <c r="C1252" s="194"/>
      <c r="D1252" s="194"/>
      <c r="E1252" s="194"/>
      <c r="F1252" s="194"/>
      <c r="G1252" s="194"/>
      <c r="H1252" s="194"/>
      <c r="I1252" s="194"/>
      <c r="J1252" s="194"/>
      <c r="K1252" s="194"/>
      <c r="L1252" s="194"/>
    </row>
    <row r="1253" spans="1:12" x14ac:dyDescent="0.3">
      <c r="A1253" s="194"/>
      <c r="B1253" s="194"/>
      <c r="C1253" s="194"/>
      <c r="D1253" s="194"/>
      <c r="E1253" s="194"/>
      <c r="F1253" s="194"/>
      <c r="G1253" s="194"/>
      <c r="H1253" s="194"/>
      <c r="I1253" s="194"/>
      <c r="J1253" s="194"/>
      <c r="K1253" s="194"/>
      <c r="L1253" s="194"/>
    </row>
    <row r="1254" spans="1:12" x14ac:dyDescent="0.3">
      <c r="A1254" s="194"/>
      <c r="B1254" s="194"/>
      <c r="C1254" s="194"/>
      <c r="D1254" s="194"/>
      <c r="E1254" s="194"/>
      <c r="F1254" s="194"/>
      <c r="G1254" s="194"/>
      <c r="H1254" s="194"/>
      <c r="I1254" s="194"/>
      <c r="J1254" s="194"/>
      <c r="K1254" s="194"/>
      <c r="L1254" s="194"/>
    </row>
    <row r="1255" spans="1:12" x14ac:dyDescent="0.3">
      <c r="A1255" s="194"/>
      <c r="B1255" s="194"/>
      <c r="C1255" s="194"/>
      <c r="D1255" s="194"/>
      <c r="E1255" s="194"/>
      <c r="F1255" s="194"/>
      <c r="G1255" s="194"/>
      <c r="H1255" s="194"/>
      <c r="I1255" s="194"/>
      <c r="J1255" s="194"/>
      <c r="K1255" s="194"/>
      <c r="L1255" s="194"/>
    </row>
    <row r="1256" spans="1:12" x14ac:dyDescent="0.3">
      <c r="A1256" s="194"/>
      <c r="B1256" s="194"/>
      <c r="C1256" s="194"/>
      <c r="D1256" s="194"/>
      <c r="E1256" s="194"/>
      <c r="F1256" s="194"/>
      <c r="G1256" s="194"/>
      <c r="H1256" s="194"/>
      <c r="I1256" s="194"/>
      <c r="J1256" s="194"/>
      <c r="K1256" s="194"/>
      <c r="L1256" s="194"/>
    </row>
    <row r="1257" spans="1:12" x14ac:dyDescent="0.3">
      <c r="A1257" s="194"/>
      <c r="B1257" s="194"/>
      <c r="C1257" s="194"/>
      <c r="D1257" s="194"/>
      <c r="E1257" s="194"/>
      <c r="F1257" s="194"/>
      <c r="G1257" s="194"/>
      <c r="H1257" s="194"/>
      <c r="I1257" s="194"/>
      <c r="J1257" s="194"/>
      <c r="K1257" s="194"/>
      <c r="L1257" s="194"/>
    </row>
    <row r="1258" spans="1:12" x14ac:dyDescent="0.3">
      <c r="A1258" s="194"/>
      <c r="B1258" s="194"/>
      <c r="C1258" s="194"/>
      <c r="D1258" s="194"/>
      <c r="E1258" s="194"/>
      <c r="F1258" s="194"/>
      <c r="G1258" s="194"/>
      <c r="H1258" s="194"/>
      <c r="I1258" s="194"/>
      <c r="J1258" s="194"/>
      <c r="K1258" s="194"/>
      <c r="L1258" s="194"/>
    </row>
    <row r="1259" spans="1:12" x14ac:dyDescent="0.3">
      <c r="A1259" s="194"/>
      <c r="B1259" s="194"/>
      <c r="C1259" s="194"/>
      <c r="D1259" s="194"/>
      <c r="E1259" s="194"/>
      <c r="F1259" s="194"/>
      <c r="G1259" s="194"/>
      <c r="H1259" s="194"/>
      <c r="I1259" s="194"/>
      <c r="J1259" s="194"/>
      <c r="K1259" s="194"/>
      <c r="L1259" s="194"/>
    </row>
    <row r="1260" spans="1:12" x14ac:dyDescent="0.3">
      <c r="A1260" s="194"/>
      <c r="B1260" s="194"/>
      <c r="C1260" s="194"/>
      <c r="D1260" s="194"/>
      <c r="E1260" s="194"/>
      <c r="F1260" s="194"/>
      <c r="G1260" s="194"/>
      <c r="H1260" s="194"/>
      <c r="I1260" s="194"/>
      <c r="J1260" s="194"/>
      <c r="K1260" s="194"/>
      <c r="L1260" s="194"/>
    </row>
    <row r="1261" spans="1:12" x14ac:dyDescent="0.3">
      <c r="A1261" s="194"/>
      <c r="B1261" s="194"/>
      <c r="C1261" s="194"/>
      <c r="D1261" s="194"/>
      <c r="E1261" s="194"/>
      <c r="F1261" s="194"/>
      <c r="G1261" s="194"/>
      <c r="H1261" s="194"/>
      <c r="I1261" s="194"/>
      <c r="J1261" s="194"/>
      <c r="K1261" s="194"/>
      <c r="L1261" s="194"/>
    </row>
    <row r="1262" spans="1:12" x14ac:dyDescent="0.3">
      <c r="A1262" s="194"/>
      <c r="B1262" s="194"/>
      <c r="C1262" s="194"/>
      <c r="D1262" s="194"/>
      <c r="E1262" s="194"/>
      <c r="F1262" s="194"/>
      <c r="G1262" s="194"/>
      <c r="H1262" s="194"/>
      <c r="I1262" s="194"/>
      <c r="J1262" s="194"/>
      <c r="K1262" s="194"/>
      <c r="L1262" s="194"/>
    </row>
    <row r="1263" spans="1:12" x14ac:dyDescent="0.3">
      <c r="A1263" s="194"/>
      <c r="B1263" s="194"/>
      <c r="C1263" s="194"/>
      <c r="D1263" s="194"/>
      <c r="E1263" s="194"/>
      <c r="F1263" s="194"/>
      <c r="G1263" s="194"/>
      <c r="H1263" s="194"/>
      <c r="I1263" s="194"/>
      <c r="J1263" s="194"/>
      <c r="K1263" s="194"/>
      <c r="L1263" s="194"/>
    </row>
    <row r="1264" spans="1:12" x14ac:dyDescent="0.3">
      <c r="A1264" s="194"/>
      <c r="B1264" s="194"/>
      <c r="C1264" s="194"/>
      <c r="D1264" s="194"/>
      <c r="E1264" s="194"/>
      <c r="F1264" s="194"/>
      <c r="G1264" s="194"/>
      <c r="H1264" s="194"/>
      <c r="I1264" s="194"/>
      <c r="J1264" s="194"/>
      <c r="K1264" s="194"/>
      <c r="L1264" s="194"/>
    </row>
    <row r="1265" spans="1:12" x14ac:dyDescent="0.3">
      <c r="A1265" s="194"/>
      <c r="B1265" s="194"/>
      <c r="C1265" s="194"/>
      <c r="D1265" s="194"/>
      <c r="E1265" s="194"/>
      <c r="F1265" s="194"/>
      <c r="G1265" s="194"/>
      <c r="H1265" s="194"/>
      <c r="I1265" s="194"/>
      <c r="J1265" s="194"/>
      <c r="K1265" s="194"/>
      <c r="L1265" s="194"/>
    </row>
    <row r="1266" spans="1:12" x14ac:dyDescent="0.3">
      <c r="A1266" s="194"/>
      <c r="B1266" s="194"/>
      <c r="C1266" s="194"/>
      <c r="D1266" s="194"/>
      <c r="E1266" s="194"/>
      <c r="F1266" s="194"/>
      <c r="G1266" s="194"/>
      <c r="H1266" s="194"/>
      <c r="I1266" s="194"/>
      <c r="J1266" s="194"/>
      <c r="K1266" s="194"/>
      <c r="L1266" s="194"/>
    </row>
    <row r="1267" spans="1:12" x14ac:dyDescent="0.3">
      <c r="A1267" s="194"/>
      <c r="B1267" s="194"/>
      <c r="C1267" s="194"/>
      <c r="D1267" s="194"/>
      <c r="E1267" s="194"/>
      <c r="F1267" s="194"/>
      <c r="G1267" s="194"/>
      <c r="H1267" s="194"/>
      <c r="I1267" s="194"/>
      <c r="J1267" s="194"/>
      <c r="K1267" s="194"/>
      <c r="L1267" s="194"/>
    </row>
    <row r="1268" spans="1:12" x14ac:dyDescent="0.3">
      <c r="A1268" s="194"/>
      <c r="B1268" s="194"/>
      <c r="C1268" s="194"/>
      <c r="D1268" s="194"/>
      <c r="E1268" s="194"/>
      <c r="F1268" s="194"/>
      <c r="G1268" s="194"/>
      <c r="H1268" s="194"/>
      <c r="I1268" s="194"/>
      <c r="J1268" s="194"/>
      <c r="K1268" s="194"/>
      <c r="L1268" s="194"/>
    </row>
    <row r="1269" spans="1:12" x14ac:dyDescent="0.3">
      <c r="A1269" s="194"/>
      <c r="B1269" s="194"/>
      <c r="C1269" s="194"/>
      <c r="D1269" s="194"/>
      <c r="E1269" s="194"/>
      <c r="F1269" s="194"/>
      <c r="G1269" s="194"/>
      <c r="H1269" s="194"/>
      <c r="I1269" s="194"/>
      <c r="J1269" s="194"/>
      <c r="K1269" s="194"/>
      <c r="L1269" s="194"/>
    </row>
    <row r="1270" spans="1:12" x14ac:dyDescent="0.3">
      <c r="A1270" s="194"/>
      <c r="B1270" s="194"/>
      <c r="C1270" s="194"/>
      <c r="D1270" s="194"/>
      <c r="E1270" s="194"/>
      <c r="F1270" s="194"/>
      <c r="G1270" s="194"/>
      <c r="H1270" s="194"/>
      <c r="I1270" s="194"/>
      <c r="J1270" s="194"/>
      <c r="K1270" s="194"/>
      <c r="L1270" s="194"/>
    </row>
    <row r="1271" spans="1:12" x14ac:dyDescent="0.3">
      <c r="A1271" s="194"/>
      <c r="B1271" s="194"/>
      <c r="C1271" s="194"/>
      <c r="D1271" s="194"/>
      <c r="E1271" s="194"/>
      <c r="F1271" s="194"/>
      <c r="G1271" s="194"/>
      <c r="H1271" s="194"/>
      <c r="I1271" s="194"/>
      <c r="J1271" s="194"/>
      <c r="K1271" s="194"/>
      <c r="L1271" s="194"/>
    </row>
    <row r="1272" spans="1:12" x14ac:dyDescent="0.3">
      <c r="A1272" s="194"/>
      <c r="B1272" s="194"/>
      <c r="C1272" s="194"/>
      <c r="D1272" s="194"/>
      <c r="E1272" s="194"/>
      <c r="F1272" s="194"/>
      <c r="G1272" s="194"/>
      <c r="H1272" s="194"/>
      <c r="I1272" s="194"/>
      <c r="J1272" s="194"/>
      <c r="K1272" s="194"/>
      <c r="L1272" s="194"/>
    </row>
    <row r="1273" spans="1:12" x14ac:dyDescent="0.3">
      <c r="A1273" s="194"/>
      <c r="B1273" s="194"/>
      <c r="C1273" s="194"/>
      <c r="D1273" s="194"/>
      <c r="E1273" s="194"/>
      <c r="F1273" s="194"/>
      <c r="G1273" s="194"/>
      <c r="H1273" s="194"/>
      <c r="I1273" s="194"/>
      <c r="J1273" s="194"/>
      <c r="K1273" s="194"/>
      <c r="L1273" s="194"/>
    </row>
    <row r="1274" spans="1:12" x14ac:dyDescent="0.3">
      <c r="A1274" s="194"/>
      <c r="B1274" s="194"/>
      <c r="C1274" s="194"/>
      <c r="D1274" s="194"/>
      <c r="E1274" s="194"/>
      <c r="F1274" s="194"/>
      <c r="G1274" s="194"/>
      <c r="H1274" s="194"/>
      <c r="I1274" s="194"/>
      <c r="J1274" s="194"/>
      <c r="K1274" s="194"/>
      <c r="L1274" s="194"/>
    </row>
    <row r="1275" spans="1:12" x14ac:dyDescent="0.3">
      <c r="A1275" s="194"/>
      <c r="B1275" s="194"/>
      <c r="C1275" s="194"/>
      <c r="D1275" s="194"/>
      <c r="E1275" s="194"/>
      <c r="F1275" s="194"/>
      <c r="G1275" s="194"/>
      <c r="H1275" s="194"/>
      <c r="I1275" s="194"/>
      <c r="J1275" s="194"/>
      <c r="K1275" s="194"/>
      <c r="L1275" s="194"/>
    </row>
    <row r="1276" spans="1:12" x14ac:dyDescent="0.3">
      <c r="A1276" s="194"/>
      <c r="B1276" s="194"/>
      <c r="C1276" s="194"/>
      <c r="D1276" s="194"/>
      <c r="E1276" s="194"/>
      <c r="F1276" s="194"/>
      <c r="G1276" s="194"/>
      <c r="H1276" s="194"/>
      <c r="I1276" s="194"/>
      <c r="J1276" s="194"/>
      <c r="K1276" s="194"/>
      <c r="L1276" s="194"/>
    </row>
    <row r="1277" spans="1:12" x14ac:dyDescent="0.3">
      <c r="A1277" s="194"/>
      <c r="B1277" s="194"/>
      <c r="C1277" s="194"/>
      <c r="D1277" s="194"/>
      <c r="E1277" s="194"/>
      <c r="F1277" s="194"/>
      <c r="G1277" s="194"/>
      <c r="H1277" s="194"/>
      <c r="I1277" s="194"/>
      <c r="J1277" s="194"/>
      <c r="K1277" s="194"/>
      <c r="L1277" s="194"/>
    </row>
    <row r="1278" spans="1:12" x14ac:dyDescent="0.3">
      <c r="A1278" s="194"/>
      <c r="B1278" s="194"/>
      <c r="C1278" s="194"/>
      <c r="D1278" s="194"/>
      <c r="E1278" s="194"/>
      <c r="F1278" s="194"/>
      <c r="G1278" s="194"/>
      <c r="H1278" s="194"/>
      <c r="I1278" s="194"/>
      <c r="J1278" s="194"/>
      <c r="K1278" s="194"/>
      <c r="L1278" s="194"/>
    </row>
    <row r="1279" spans="1:12" x14ac:dyDescent="0.3">
      <c r="A1279" s="194"/>
      <c r="B1279" s="194"/>
      <c r="C1279" s="194"/>
      <c r="D1279" s="194"/>
      <c r="E1279" s="194"/>
      <c r="F1279" s="194"/>
      <c r="G1279" s="194"/>
      <c r="H1279" s="194"/>
      <c r="I1279" s="194"/>
      <c r="J1279" s="194"/>
      <c r="K1279" s="194"/>
      <c r="L1279" s="194"/>
    </row>
    <row r="1280" spans="1:12" x14ac:dyDescent="0.3">
      <c r="A1280" s="194"/>
      <c r="B1280" s="194"/>
      <c r="C1280" s="194"/>
      <c r="D1280" s="194"/>
      <c r="E1280" s="194"/>
      <c r="F1280" s="194"/>
      <c r="G1280" s="194"/>
      <c r="H1280" s="194"/>
      <c r="I1280" s="194"/>
      <c r="J1280" s="194"/>
      <c r="K1280" s="194"/>
      <c r="L1280" s="194"/>
    </row>
    <row r="1281" spans="1:12" x14ac:dyDescent="0.3">
      <c r="A1281" s="194"/>
      <c r="B1281" s="194"/>
      <c r="C1281" s="194"/>
      <c r="D1281" s="194"/>
      <c r="E1281" s="194"/>
      <c r="F1281" s="194"/>
      <c r="G1281" s="194"/>
      <c r="H1281" s="194"/>
      <c r="I1281" s="194"/>
      <c r="J1281" s="194"/>
      <c r="K1281" s="194"/>
      <c r="L1281" s="194"/>
    </row>
    <row r="1282" spans="1:12" x14ac:dyDescent="0.3">
      <c r="A1282" s="194"/>
      <c r="B1282" s="194"/>
      <c r="C1282" s="194"/>
      <c r="D1282" s="194"/>
      <c r="E1282" s="194"/>
      <c r="F1282" s="194"/>
      <c r="G1282" s="194"/>
      <c r="H1282" s="194"/>
      <c r="I1282" s="194"/>
      <c r="J1282" s="194"/>
      <c r="K1282" s="194"/>
      <c r="L1282" s="194"/>
    </row>
    <row r="1283" spans="1:12" x14ac:dyDescent="0.3">
      <c r="A1283" s="194"/>
      <c r="B1283" s="194"/>
      <c r="C1283" s="194"/>
      <c r="D1283" s="194"/>
      <c r="E1283" s="194"/>
      <c r="F1283" s="194"/>
      <c r="G1283" s="194"/>
      <c r="H1283" s="194"/>
      <c r="I1283" s="194"/>
      <c r="J1283" s="194"/>
      <c r="K1283" s="194"/>
      <c r="L1283" s="194"/>
    </row>
    <row r="1284" spans="1:12" x14ac:dyDescent="0.3">
      <c r="A1284" s="194"/>
      <c r="B1284" s="194"/>
      <c r="C1284" s="194"/>
      <c r="D1284" s="194"/>
      <c r="E1284" s="194"/>
      <c r="F1284" s="194"/>
      <c r="G1284" s="194"/>
      <c r="H1284" s="194"/>
      <c r="I1284" s="194"/>
      <c r="J1284" s="194"/>
      <c r="K1284" s="194"/>
      <c r="L1284" s="194"/>
    </row>
    <row r="1285" spans="1:12" x14ac:dyDescent="0.3">
      <c r="A1285" s="194"/>
      <c r="B1285" s="194"/>
      <c r="C1285" s="194"/>
      <c r="D1285" s="194"/>
      <c r="E1285" s="194"/>
      <c r="F1285" s="194"/>
      <c r="G1285" s="194"/>
      <c r="H1285" s="194"/>
      <c r="I1285" s="194"/>
      <c r="J1285" s="194"/>
      <c r="K1285" s="194"/>
      <c r="L1285" s="194"/>
    </row>
    <row r="1286" spans="1:12" x14ac:dyDescent="0.3">
      <c r="A1286" s="194"/>
      <c r="B1286" s="194"/>
      <c r="C1286" s="194"/>
      <c r="D1286" s="194"/>
      <c r="E1286" s="194"/>
      <c r="F1286" s="194"/>
      <c r="G1286" s="194"/>
      <c r="H1286" s="194"/>
      <c r="I1286" s="194"/>
      <c r="J1286" s="194"/>
      <c r="K1286" s="194"/>
      <c r="L1286" s="194"/>
    </row>
    <row r="1287" spans="1:12" x14ac:dyDescent="0.3">
      <c r="A1287" s="194"/>
      <c r="B1287" s="194"/>
      <c r="C1287" s="194"/>
      <c r="D1287" s="194"/>
      <c r="E1287" s="194"/>
      <c r="F1287" s="194"/>
      <c r="G1287" s="194"/>
      <c r="H1287" s="194"/>
      <c r="I1287" s="194"/>
      <c r="J1287" s="194"/>
      <c r="K1287" s="194"/>
      <c r="L1287" s="194"/>
    </row>
    <row r="1288" spans="1:12" x14ac:dyDescent="0.3">
      <c r="A1288" s="194"/>
      <c r="B1288" s="194"/>
      <c r="C1288" s="194"/>
      <c r="D1288" s="194"/>
      <c r="E1288" s="194"/>
      <c r="F1288" s="194"/>
      <c r="G1288" s="194"/>
      <c r="H1288" s="194"/>
      <c r="I1288" s="194"/>
      <c r="J1288" s="194"/>
      <c r="K1288" s="194"/>
      <c r="L1288" s="194"/>
    </row>
    <row r="1289" spans="1:12" x14ac:dyDescent="0.3">
      <c r="A1289" s="194"/>
      <c r="B1289" s="194"/>
      <c r="C1289" s="194"/>
      <c r="D1289" s="194"/>
      <c r="E1289" s="194"/>
      <c r="F1289" s="194"/>
      <c r="G1289" s="194"/>
      <c r="H1289" s="194"/>
      <c r="I1289" s="194"/>
      <c r="J1289" s="194"/>
      <c r="K1289" s="194"/>
      <c r="L1289" s="194"/>
    </row>
    <row r="1290" spans="1:12" x14ac:dyDescent="0.3">
      <c r="A1290" s="194"/>
      <c r="B1290" s="194"/>
      <c r="C1290" s="194"/>
      <c r="D1290" s="194"/>
      <c r="E1290" s="194"/>
      <c r="F1290" s="194"/>
      <c r="G1290" s="194"/>
      <c r="H1290" s="194"/>
      <c r="I1290" s="194"/>
      <c r="J1290" s="194"/>
      <c r="K1290" s="194"/>
      <c r="L1290" s="194"/>
    </row>
    <row r="1291" spans="1:12" x14ac:dyDescent="0.3">
      <c r="A1291" s="194"/>
      <c r="B1291" s="194"/>
      <c r="C1291" s="194"/>
      <c r="D1291" s="194"/>
      <c r="E1291" s="194"/>
      <c r="F1291" s="194"/>
      <c r="G1291" s="194"/>
      <c r="H1291" s="194"/>
      <c r="I1291" s="194"/>
      <c r="J1291" s="194"/>
      <c r="K1291" s="194"/>
      <c r="L1291" s="194"/>
    </row>
    <row r="1292" spans="1:12" x14ac:dyDescent="0.3">
      <c r="A1292" s="194"/>
      <c r="B1292" s="194"/>
      <c r="C1292" s="194"/>
      <c r="D1292" s="194"/>
      <c r="E1292" s="194"/>
      <c r="F1292" s="194"/>
      <c r="G1292" s="194"/>
      <c r="H1292" s="194"/>
      <c r="I1292" s="194"/>
      <c r="J1292" s="194"/>
      <c r="K1292" s="194"/>
      <c r="L1292" s="194"/>
    </row>
    <row r="1293" spans="1:12" x14ac:dyDescent="0.3">
      <c r="A1293" s="194"/>
      <c r="B1293" s="194"/>
      <c r="C1293" s="194"/>
      <c r="D1293" s="194"/>
      <c r="E1293" s="194"/>
      <c r="F1293" s="194"/>
      <c r="G1293" s="194"/>
      <c r="H1293" s="194"/>
      <c r="I1293" s="194"/>
      <c r="J1293" s="194"/>
      <c r="K1293" s="194"/>
      <c r="L1293" s="194"/>
    </row>
    <row r="1294" spans="1:12" x14ac:dyDescent="0.3">
      <c r="A1294" s="194"/>
      <c r="B1294" s="194"/>
      <c r="C1294" s="194"/>
      <c r="D1294" s="194"/>
      <c r="E1294" s="194"/>
      <c r="F1294" s="194"/>
      <c r="G1294" s="194"/>
      <c r="H1294" s="194"/>
      <c r="I1294" s="194"/>
      <c r="J1294" s="194"/>
      <c r="K1294" s="194"/>
      <c r="L1294" s="194"/>
    </row>
    <row r="1295" spans="1:12" x14ac:dyDescent="0.3">
      <c r="A1295" s="194"/>
      <c r="B1295" s="194"/>
      <c r="C1295" s="194"/>
      <c r="D1295" s="194"/>
      <c r="E1295" s="194"/>
      <c r="F1295" s="194"/>
      <c r="G1295" s="194"/>
      <c r="H1295" s="194"/>
      <c r="I1295" s="194"/>
      <c r="J1295" s="194"/>
      <c r="K1295" s="194"/>
      <c r="L1295" s="194"/>
    </row>
    <row r="1296" spans="1:12" x14ac:dyDescent="0.3">
      <c r="A1296" s="194"/>
      <c r="B1296" s="194"/>
      <c r="C1296" s="194"/>
      <c r="D1296" s="194"/>
      <c r="E1296" s="194"/>
      <c r="F1296" s="194"/>
      <c r="G1296" s="194"/>
      <c r="H1296" s="194"/>
      <c r="I1296" s="194"/>
      <c r="J1296" s="194"/>
      <c r="K1296" s="194"/>
      <c r="L1296" s="194"/>
    </row>
    <row r="1297" spans="1:12" x14ac:dyDescent="0.3">
      <c r="A1297" s="194"/>
      <c r="B1297" s="194"/>
      <c r="C1297" s="194"/>
      <c r="D1297" s="194"/>
      <c r="E1297" s="194"/>
      <c r="F1297" s="194"/>
      <c r="G1297" s="194"/>
      <c r="H1297" s="194"/>
      <c r="I1297" s="194"/>
      <c r="J1297" s="194"/>
      <c r="K1297" s="194"/>
      <c r="L1297" s="194"/>
    </row>
    <row r="1298" spans="1:12" x14ac:dyDescent="0.3">
      <c r="A1298" s="194"/>
      <c r="B1298" s="194"/>
      <c r="C1298" s="194"/>
      <c r="D1298" s="194"/>
      <c r="E1298" s="194"/>
      <c r="F1298" s="194"/>
      <c r="G1298" s="194"/>
      <c r="H1298" s="194"/>
      <c r="I1298" s="194"/>
      <c r="J1298" s="194"/>
      <c r="K1298" s="194"/>
      <c r="L1298" s="194"/>
    </row>
    <row r="1299" spans="1:12" x14ac:dyDescent="0.3">
      <c r="A1299" s="194"/>
      <c r="B1299" s="194"/>
      <c r="C1299" s="194"/>
      <c r="D1299" s="194"/>
      <c r="E1299" s="194"/>
      <c r="F1299" s="194"/>
      <c r="G1299" s="194"/>
      <c r="H1299" s="194"/>
      <c r="I1299" s="194"/>
      <c r="J1299" s="194"/>
      <c r="K1299" s="194"/>
      <c r="L1299" s="194"/>
    </row>
    <row r="1300" spans="1:12" x14ac:dyDescent="0.3">
      <c r="A1300" s="194"/>
      <c r="B1300" s="194"/>
      <c r="C1300" s="194"/>
      <c r="D1300" s="194"/>
      <c r="E1300" s="194"/>
      <c r="F1300" s="194"/>
      <c r="G1300" s="194"/>
      <c r="H1300" s="194"/>
      <c r="I1300" s="194"/>
      <c r="J1300" s="194"/>
      <c r="K1300" s="194"/>
      <c r="L1300" s="194"/>
    </row>
    <row r="1301" spans="1:12" x14ac:dyDescent="0.3">
      <c r="A1301" s="194"/>
      <c r="B1301" s="194"/>
      <c r="C1301" s="194"/>
      <c r="D1301" s="194"/>
      <c r="E1301" s="194"/>
      <c r="F1301" s="194"/>
      <c r="G1301" s="194"/>
      <c r="H1301" s="194"/>
      <c r="I1301" s="194"/>
      <c r="J1301" s="194"/>
      <c r="K1301" s="194"/>
      <c r="L1301" s="194"/>
    </row>
    <row r="1302" spans="1:12" x14ac:dyDescent="0.3">
      <c r="A1302" s="194"/>
      <c r="B1302" s="194"/>
      <c r="C1302" s="194"/>
      <c r="D1302" s="194"/>
      <c r="E1302" s="194"/>
      <c r="F1302" s="194"/>
      <c r="G1302" s="194"/>
      <c r="H1302" s="194"/>
      <c r="I1302" s="194"/>
      <c r="J1302" s="194"/>
      <c r="K1302" s="194"/>
      <c r="L1302" s="194"/>
    </row>
    <row r="1303" spans="1:12" x14ac:dyDescent="0.3">
      <c r="A1303" s="194"/>
      <c r="B1303" s="194"/>
      <c r="C1303" s="194"/>
      <c r="D1303" s="194"/>
      <c r="E1303" s="194"/>
      <c r="F1303" s="194"/>
      <c r="G1303" s="194"/>
      <c r="H1303" s="194"/>
      <c r="I1303" s="194"/>
      <c r="J1303" s="194"/>
      <c r="K1303" s="194"/>
      <c r="L1303" s="194"/>
    </row>
    <row r="1304" spans="1:12" x14ac:dyDescent="0.3">
      <c r="A1304" s="194"/>
      <c r="B1304" s="194"/>
      <c r="C1304" s="194"/>
      <c r="D1304" s="194"/>
      <c r="E1304" s="194"/>
      <c r="F1304" s="194"/>
      <c r="G1304" s="194"/>
      <c r="H1304" s="194"/>
      <c r="I1304" s="194"/>
      <c r="J1304" s="194"/>
      <c r="K1304" s="194"/>
      <c r="L1304" s="194"/>
    </row>
    <row r="1305" spans="1:12" x14ac:dyDescent="0.3">
      <c r="A1305" s="194"/>
      <c r="B1305" s="194"/>
      <c r="C1305" s="194"/>
      <c r="D1305" s="194"/>
      <c r="E1305" s="194"/>
      <c r="F1305" s="194"/>
      <c r="G1305" s="194"/>
      <c r="H1305" s="194"/>
      <c r="I1305" s="194"/>
      <c r="J1305" s="194"/>
      <c r="K1305" s="194"/>
      <c r="L1305" s="194"/>
    </row>
    <row r="1306" spans="1:12" x14ac:dyDescent="0.3">
      <c r="A1306" s="194"/>
      <c r="B1306" s="194"/>
      <c r="C1306" s="194"/>
      <c r="D1306" s="194"/>
      <c r="E1306" s="194"/>
      <c r="F1306" s="194"/>
      <c r="G1306" s="194"/>
      <c r="H1306" s="194"/>
      <c r="I1306" s="194"/>
      <c r="J1306" s="194"/>
      <c r="K1306" s="194"/>
      <c r="L1306" s="194"/>
    </row>
    <row r="1307" spans="1:12" x14ac:dyDescent="0.3">
      <c r="A1307" s="194"/>
      <c r="B1307" s="194"/>
      <c r="C1307" s="194"/>
      <c r="D1307" s="194"/>
      <c r="E1307" s="194"/>
      <c r="F1307" s="194"/>
      <c r="G1307" s="194"/>
      <c r="H1307" s="194"/>
      <c r="I1307" s="194"/>
      <c r="J1307" s="194"/>
      <c r="K1307" s="194"/>
      <c r="L1307" s="194"/>
    </row>
    <row r="1308" spans="1:12" x14ac:dyDescent="0.3">
      <c r="A1308" s="194"/>
      <c r="B1308" s="194"/>
      <c r="C1308" s="194"/>
      <c r="D1308" s="194"/>
      <c r="E1308" s="194"/>
      <c r="F1308" s="194"/>
      <c r="G1308" s="194"/>
      <c r="H1308" s="194"/>
      <c r="I1308" s="194"/>
      <c r="J1308" s="194"/>
      <c r="K1308" s="194"/>
      <c r="L1308" s="194"/>
    </row>
    <row r="1309" spans="1:12" x14ac:dyDescent="0.3">
      <c r="A1309" s="194"/>
      <c r="B1309" s="194"/>
      <c r="C1309" s="194"/>
      <c r="D1309" s="194"/>
      <c r="E1309" s="194"/>
      <c r="F1309" s="194"/>
      <c r="G1309" s="194"/>
      <c r="H1309" s="194"/>
      <c r="I1309" s="194"/>
      <c r="J1309" s="194"/>
      <c r="K1309" s="194"/>
      <c r="L1309" s="194"/>
    </row>
    <row r="1310" spans="1:12" x14ac:dyDescent="0.3">
      <c r="A1310" s="194"/>
      <c r="B1310" s="194"/>
      <c r="C1310" s="194"/>
      <c r="D1310" s="194"/>
      <c r="E1310" s="194"/>
      <c r="F1310" s="194"/>
      <c r="G1310" s="194"/>
      <c r="H1310" s="194"/>
      <c r="I1310" s="194"/>
      <c r="J1310" s="194"/>
      <c r="K1310" s="194"/>
      <c r="L1310" s="194"/>
    </row>
    <row r="1311" spans="1:12" x14ac:dyDescent="0.3">
      <c r="A1311" s="194"/>
      <c r="B1311" s="194"/>
      <c r="C1311" s="194"/>
      <c r="D1311" s="194"/>
      <c r="E1311" s="194"/>
      <c r="F1311" s="194"/>
      <c r="G1311" s="194"/>
      <c r="H1311" s="194"/>
      <c r="I1311" s="194"/>
      <c r="J1311" s="194"/>
      <c r="K1311" s="194"/>
      <c r="L1311" s="194"/>
    </row>
    <row r="1312" spans="1:12" x14ac:dyDescent="0.3">
      <c r="A1312" s="194"/>
      <c r="B1312" s="194"/>
      <c r="C1312" s="194"/>
      <c r="D1312" s="194"/>
      <c r="E1312" s="194"/>
      <c r="F1312" s="194"/>
      <c r="G1312" s="194"/>
      <c r="H1312" s="194"/>
      <c r="I1312" s="194"/>
      <c r="J1312" s="194"/>
      <c r="K1312" s="194"/>
      <c r="L1312" s="194"/>
    </row>
    <row r="1313" spans="1:12" x14ac:dyDescent="0.3">
      <c r="A1313" s="194"/>
      <c r="B1313" s="194"/>
      <c r="C1313" s="194"/>
      <c r="D1313" s="194"/>
      <c r="E1313" s="194"/>
      <c r="F1313" s="194"/>
      <c r="G1313" s="194"/>
      <c r="H1313" s="194"/>
      <c r="I1313" s="194"/>
      <c r="J1313" s="194"/>
      <c r="K1313" s="194"/>
      <c r="L1313" s="194"/>
    </row>
    <row r="1314" spans="1:12" x14ac:dyDescent="0.3">
      <c r="A1314" s="194"/>
      <c r="B1314" s="194"/>
      <c r="C1314" s="194"/>
      <c r="D1314" s="194"/>
      <c r="E1314" s="194"/>
      <c r="F1314" s="194"/>
      <c r="G1314" s="194"/>
      <c r="H1314" s="194"/>
      <c r="I1314" s="194"/>
      <c r="J1314" s="194"/>
      <c r="K1314" s="194"/>
      <c r="L1314" s="194"/>
    </row>
    <row r="1315" spans="1:12" x14ac:dyDescent="0.3">
      <c r="A1315" s="194"/>
      <c r="B1315" s="194"/>
      <c r="C1315" s="194"/>
      <c r="D1315" s="194"/>
      <c r="E1315" s="194"/>
      <c r="F1315" s="194"/>
      <c r="G1315" s="194"/>
      <c r="H1315" s="194"/>
      <c r="I1315" s="194"/>
      <c r="J1315" s="194"/>
      <c r="K1315" s="194"/>
      <c r="L1315" s="194"/>
    </row>
    <row r="1316" spans="1:12" x14ac:dyDescent="0.3">
      <c r="A1316" s="194"/>
      <c r="B1316" s="194"/>
      <c r="C1316" s="194"/>
      <c r="D1316" s="194"/>
      <c r="E1316" s="194"/>
      <c r="F1316" s="194"/>
      <c r="G1316" s="194"/>
      <c r="H1316" s="194"/>
      <c r="I1316" s="194"/>
      <c r="J1316" s="194"/>
      <c r="K1316" s="194"/>
      <c r="L1316" s="194"/>
    </row>
    <row r="1317" spans="1:12" x14ac:dyDescent="0.3">
      <c r="A1317" s="194"/>
      <c r="B1317" s="194"/>
      <c r="C1317" s="194"/>
      <c r="D1317" s="194"/>
      <c r="E1317" s="194"/>
      <c r="F1317" s="194"/>
      <c r="G1317" s="194"/>
      <c r="H1317" s="194"/>
      <c r="I1317" s="194"/>
      <c r="J1317" s="194"/>
      <c r="K1317" s="194"/>
      <c r="L1317" s="194"/>
    </row>
    <row r="1318" spans="1:12" x14ac:dyDescent="0.3">
      <c r="A1318" s="194"/>
      <c r="B1318" s="194"/>
      <c r="C1318" s="194"/>
      <c r="D1318" s="194"/>
      <c r="E1318" s="194"/>
      <c r="F1318" s="194"/>
      <c r="G1318" s="194"/>
      <c r="H1318" s="194"/>
      <c r="I1318" s="194"/>
      <c r="J1318" s="194"/>
      <c r="K1318" s="194"/>
      <c r="L1318" s="194"/>
    </row>
    <row r="1319" spans="1:12" x14ac:dyDescent="0.3">
      <c r="A1319" s="194"/>
      <c r="B1319" s="194"/>
      <c r="C1319" s="194"/>
      <c r="D1319" s="194"/>
      <c r="E1319" s="194"/>
      <c r="F1319" s="194"/>
      <c r="G1319" s="194"/>
      <c r="H1319" s="194"/>
      <c r="I1319" s="194"/>
      <c r="J1319" s="194"/>
      <c r="K1319" s="194"/>
      <c r="L1319" s="194"/>
    </row>
    <row r="1320" spans="1:12" x14ac:dyDescent="0.3">
      <c r="A1320" s="194"/>
      <c r="B1320" s="194"/>
      <c r="C1320" s="194"/>
      <c r="D1320" s="194"/>
      <c r="E1320" s="194"/>
      <c r="F1320" s="194"/>
      <c r="G1320" s="194"/>
      <c r="H1320" s="194"/>
      <c r="I1320" s="194"/>
      <c r="J1320" s="194"/>
      <c r="K1320" s="194"/>
      <c r="L1320" s="194"/>
    </row>
    <row r="1321" spans="1:12" x14ac:dyDescent="0.3">
      <c r="A1321" s="194"/>
      <c r="B1321" s="194"/>
      <c r="C1321" s="194"/>
      <c r="D1321" s="194"/>
      <c r="E1321" s="194"/>
      <c r="F1321" s="194"/>
      <c r="G1321" s="194"/>
      <c r="H1321" s="194"/>
      <c r="I1321" s="194"/>
      <c r="J1321" s="194"/>
      <c r="K1321" s="194"/>
      <c r="L1321" s="194"/>
    </row>
    <row r="1322" spans="1:12" x14ac:dyDescent="0.3">
      <c r="A1322" s="194"/>
      <c r="B1322" s="194"/>
      <c r="C1322" s="194"/>
      <c r="D1322" s="194"/>
      <c r="E1322" s="194"/>
      <c r="F1322" s="194"/>
      <c r="G1322" s="194"/>
      <c r="H1322" s="194"/>
      <c r="I1322" s="194"/>
      <c r="J1322" s="194"/>
      <c r="K1322" s="194"/>
      <c r="L1322" s="194"/>
    </row>
    <row r="1323" spans="1:12" x14ac:dyDescent="0.3">
      <c r="A1323" s="194"/>
      <c r="B1323" s="194"/>
      <c r="C1323" s="194"/>
      <c r="D1323" s="194"/>
      <c r="E1323" s="194"/>
      <c r="F1323" s="194"/>
      <c r="G1323" s="194"/>
      <c r="H1323" s="194"/>
      <c r="I1323" s="194"/>
      <c r="J1323" s="194"/>
      <c r="K1323" s="194"/>
      <c r="L1323" s="194"/>
    </row>
    <row r="1324" spans="1:12" x14ac:dyDescent="0.3">
      <c r="A1324" s="194"/>
      <c r="B1324" s="194"/>
      <c r="C1324" s="194"/>
      <c r="D1324" s="194"/>
      <c r="E1324" s="194"/>
      <c r="F1324" s="194"/>
      <c r="G1324" s="194"/>
      <c r="H1324" s="194"/>
      <c r="I1324" s="194"/>
      <c r="J1324" s="194"/>
      <c r="K1324" s="194"/>
      <c r="L1324" s="194"/>
    </row>
    <row r="1325" spans="1:12" x14ac:dyDescent="0.3">
      <c r="A1325" s="194"/>
      <c r="B1325" s="194"/>
      <c r="C1325" s="194"/>
      <c r="D1325" s="194"/>
      <c r="E1325" s="194"/>
      <c r="F1325" s="194"/>
      <c r="G1325" s="194"/>
      <c r="H1325" s="194"/>
      <c r="I1325" s="194"/>
      <c r="J1325" s="194"/>
      <c r="K1325" s="194"/>
      <c r="L1325" s="194"/>
    </row>
    <row r="1326" spans="1:12" x14ac:dyDescent="0.3">
      <c r="A1326" s="194"/>
      <c r="B1326" s="194"/>
      <c r="C1326" s="194"/>
      <c r="D1326" s="194"/>
      <c r="E1326" s="194"/>
      <c r="F1326" s="194"/>
      <c r="G1326" s="194"/>
      <c r="H1326" s="194"/>
      <c r="I1326" s="194"/>
      <c r="J1326" s="194"/>
      <c r="K1326" s="194"/>
      <c r="L1326" s="194"/>
    </row>
    <row r="1327" spans="1:12" x14ac:dyDescent="0.3">
      <c r="A1327" s="194"/>
      <c r="B1327" s="194"/>
      <c r="C1327" s="194"/>
      <c r="D1327" s="194"/>
      <c r="E1327" s="194"/>
      <c r="F1327" s="194"/>
      <c r="G1327" s="194"/>
      <c r="H1327" s="194"/>
      <c r="I1327" s="194"/>
      <c r="J1327" s="194"/>
      <c r="K1327" s="194"/>
      <c r="L1327" s="194"/>
    </row>
    <row r="1328" spans="1:12" x14ac:dyDescent="0.3">
      <c r="A1328" s="194"/>
      <c r="B1328" s="194"/>
      <c r="C1328" s="194"/>
      <c r="D1328" s="194"/>
      <c r="E1328" s="194"/>
      <c r="F1328" s="194"/>
      <c r="G1328" s="194"/>
      <c r="H1328" s="194"/>
      <c r="I1328" s="194"/>
      <c r="J1328" s="194"/>
      <c r="K1328" s="194"/>
      <c r="L1328" s="194"/>
    </row>
    <row r="1329" spans="1:12" x14ac:dyDescent="0.3">
      <c r="A1329" s="194"/>
      <c r="B1329" s="194"/>
      <c r="C1329" s="194"/>
      <c r="D1329" s="194"/>
      <c r="E1329" s="194"/>
      <c r="F1329" s="194"/>
      <c r="G1329" s="194"/>
      <c r="H1329" s="194"/>
      <c r="I1329" s="194"/>
      <c r="J1329" s="194"/>
      <c r="K1329" s="194"/>
      <c r="L1329" s="194"/>
    </row>
    <row r="1330" spans="1:12" x14ac:dyDescent="0.3">
      <c r="A1330" s="194"/>
      <c r="B1330" s="194"/>
      <c r="C1330" s="194"/>
      <c r="D1330" s="194"/>
      <c r="E1330" s="194"/>
      <c r="F1330" s="194"/>
      <c r="G1330" s="194"/>
      <c r="H1330" s="194"/>
      <c r="I1330" s="194"/>
      <c r="J1330" s="194"/>
      <c r="K1330" s="194"/>
      <c r="L1330" s="194"/>
    </row>
    <row r="1331" spans="1:12" x14ac:dyDescent="0.3">
      <c r="A1331" s="194"/>
      <c r="B1331" s="194"/>
      <c r="C1331" s="194"/>
      <c r="D1331" s="194"/>
      <c r="E1331" s="194"/>
      <c r="F1331" s="194"/>
      <c r="G1331" s="194"/>
      <c r="H1331" s="194"/>
      <c r="I1331" s="194"/>
      <c r="J1331" s="194"/>
      <c r="K1331" s="194"/>
      <c r="L1331" s="194"/>
    </row>
    <row r="1332" spans="1:12" x14ac:dyDescent="0.3">
      <c r="A1332" s="194"/>
      <c r="B1332" s="194"/>
      <c r="C1332" s="194"/>
      <c r="D1332" s="194"/>
      <c r="E1332" s="194"/>
      <c r="F1332" s="194"/>
      <c r="G1332" s="194"/>
      <c r="H1332" s="194"/>
      <c r="I1332" s="194"/>
      <c r="J1332" s="194"/>
      <c r="K1332" s="194"/>
      <c r="L1332" s="194"/>
    </row>
    <row r="1333" spans="1:12" x14ac:dyDescent="0.3">
      <c r="A1333" s="194"/>
      <c r="B1333" s="194"/>
      <c r="C1333" s="194"/>
      <c r="D1333" s="194"/>
      <c r="E1333" s="194"/>
      <c r="F1333" s="194"/>
      <c r="G1333" s="194"/>
      <c r="H1333" s="194"/>
      <c r="I1333" s="194"/>
      <c r="J1333" s="194"/>
      <c r="K1333" s="194"/>
      <c r="L1333" s="194"/>
    </row>
    <row r="1334" spans="1:12" x14ac:dyDescent="0.3">
      <c r="A1334" s="194"/>
      <c r="B1334" s="194"/>
      <c r="C1334" s="194"/>
      <c r="D1334" s="194"/>
      <c r="E1334" s="194"/>
      <c r="F1334" s="194"/>
      <c r="G1334" s="194"/>
      <c r="H1334" s="194"/>
      <c r="I1334" s="194"/>
      <c r="J1334" s="194"/>
      <c r="K1334" s="194"/>
      <c r="L1334" s="194"/>
    </row>
    <row r="1335" spans="1:12" x14ac:dyDescent="0.3">
      <c r="A1335" s="194"/>
      <c r="B1335" s="194"/>
      <c r="C1335" s="194"/>
      <c r="D1335" s="194"/>
      <c r="E1335" s="194"/>
      <c r="F1335" s="194"/>
      <c r="G1335" s="194"/>
      <c r="H1335" s="194"/>
      <c r="I1335" s="194"/>
      <c r="J1335" s="194"/>
      <c r="K1335" s="194"/>
      <c r="L1335" s="194"/>
    </row>
    <row r="1336" spans="1:12" x14ac:dyDescent="0.3">
      <c r="A1336" s="194"/>
      <c r="B1336" s="194"/>
      <c r="C1336" s="194"/>
      <c r="D1336" s="194"/>
      <c r="E1336" s="194"/>
      <c r="F1336" s="194"/>
      <c r="G1336" s="194"/>
      <c r="H1336" s="194"/>
      <c r="I1336" s="194"/>
      <c r="J1336" s="194"/>
      <c r="K1336" s="194"/>
      <c r="L1336" s="194"/>
    </row>
    <row r="1337" spans="1:12" x14ac:dyDescent="0.3">
      <c r="A1337" s="194"/>
      <c r="B1337" s="194"/>
      <c r="C1337" s="194"/>
      <c r="D1337" s="194"/>
      <c r="E1337" s="194"/>
      <c r="F1337" s="194"/>
      <c r="G1337" s="194"/>
      <c r="H1337" s="194"/>
      <c r="I1337" s="194"/>
      <c r="J1337" s="194"/>
      <c r="K1337" s="194"/>
      <c r="L1337" s="194"/>
    </row>
    <row r="1338" spans="1:12" x14ac:dyDescent="0.3">
      <c r="A1338" s="194"/>
      <c r="B1338" s="194"/>
      <c r="C1338" s="194"/>
      <c r="D1338" s="194"/>
      <c r="E1338" s="194"/>
      <c r="F1338" s="194"/>
      <c r="G1338" s="194"/>
      <c r="H1338" s="194"/>
      <c r="I1338" s="194"/>
      <c r="J1338" s="194"/>
      <c r="K1338" s="194"/>
      <c r="L1338" s="194"/>
    </row>
    <row r="1339" spans="1:12" x14ac:dyDescent="0.3">
      <c r="A1339" s="194"/>
      <c r="B1339" s="194"/>
      <c r="C1339" s="194"/>
      <c r="D1339" s="194"/>
      <c r="E1339" s="194"/>
      <c r="F1339" s="194"/>
      <c r="G1339" s="194"/>
      <c r="H1339" s="194"/>
      <c r="I1339" s="194"/>
      <c r="J1339" s="194"/>
      <c r="K1339" s="194"/>
      <c r="L1339" s="194"/>
    </row>
    <row r="1340" spans="1:12" x14ac:dyDescent="0.3">
      <c r="A1340" s="194"/>
      <c r="B1340" s="194"/>
      <c r="C1340" s="194"/>
      <c r="D1340" s="194"/>
      <c r="E1340" s="194"/>
      <c r="F1340" s="194"/>
      <c r="G1340" s="194"/>
      <c r="H1340" s="194"/>
      <c r="I1340" s="194"/>
      <c r="J1340" s="194"/>
      <c r="K1340" s="194"/>
      <c r="L1340" s="194"/>
    </row>
    <row r="1341" spans="1:12" x14ac:dyDescent="0.3">
      <c r="A1341" s="194"/>
      <c r="B1341" s="194"/>
      <c r="C1341" s="194"/>
      <c r="D1341" s="194"/>
      <c r="E1341" s="194"/>
      <c r="F1341" s="194"/>
      <c r="G1341" s="194"/>
      <c r="H1341" s="194"/>
      <c r="I1341" s="194"/>
      <c r="J1341" s="194"/>
      <c r="K1341" s="194"/>
      <c r="L1341" s="194"/>
    </row>
    <row r="1342" spans="1:12" x14ac:dyDescent="0.3">
      <c r="A1342" s="194"/>
      <c r="B1342" s="194"/>
      <c r="C1342" s="194"/>
      <c r="D1342" s="194"/>
      <c r="E1342" s="194"/>
      <c r="F1342" s="194"/>
      <c r="G1342" s="194"/>
      <c r="H1342" s="194"/>
      <c r="I1342" s="194"/>
      <c r="J1342" s="194"/>
      <c r="K1342" s="194"/>
      <c r="L1342" s="194"/>
    </row>
    <row r="1343" spans="1:12" x14ac:dyDescent="0.3">
      <c r="A1343" s="194"/>
      <c r="B1343" s="194"/>
      <c r="C1343" s="194"/>
      <c r="D1343" s="194"/>
      <c r="E1343" s="194"/>
      <c r="F1343" s="194"/>
      <c r="G1343" s="194"/>
      <c r="H1343" s="194"/>
      <c r="I1343" s="194"/>
      <c r="J1343" s="194"/>
      <c r="K1343" s="194"/>
      <c r="L1343" s="194"/>
    </row>
    <row r="1344" spans="1:12" x14ac:dyDescent="0.3">
      <c r="A1344" s="194"/>
      <c r="B1344" s="194"/>
      <c r="C1344" s="194"/>
      <c r="D1344" s="194"/>
      <c r="E1344" s="194"/>
      <c r="F1344" s="194"/>
      <c r="G1344" s="194"/>
      <c r="H1344" s="194"/>
      <c r="I1344" s="194"/>
      <c r="J1344" s="194"/>
      <c r="K1344" s="194"/>
      <c r="L1344" s="194"/>
    </row>
    <row r="1345" spans="1:12" x14ac:dyDescent="0.3">
      <c r="A1345" s="194"/>
      <c r="B1345" s="194"/>
      <c r="C1345" s="194"/>
      <c r="D1345" s="194"/>
      <c r="E1345" s="194"/>
      <c r="F1345" s="194"/>
      <c r="G1345" s="194"/>
      <c r="H1345" s="194"/>
      <c r="I1345" s="194"/>
      <c r="J1345" s="194"/>
      <c r="K1345" s="194"/>
      <c r="L1345" s="194"/>
    </row>
    <row r="1346" spans="1:12" x14ac:dyDescent="0.3">
      <c r="A1346" s="194"/>
      <c r="B1346" s="194"/>
      <c r="C1346" s="194"/>
      <c r="D1346" s="194"/>
      <c r="E1346" s="194"/>
      <c r="F1346" s="194"/>
      <c r="G1346" s="194"/>
      <c r="H1346" s="194"/>
      <c r="I1346" s="194"/>
      <c r="J1346" s="194"/>
      <c r="K1346" s="194"/>
      <c r="L1346" s="194"/>
    </row>
    <row r="1347" spans="1:12" x14ac:dyDescent="0.3">
      <c r="A1347" s="194"/>
      <c r="B1347" s="194"/>
      <c r="C1347" s="194"/>
      <c r="D1347" s="194"/>
      <c r="E1347" s="194"/>
      <c r="F1347" s="194"/>
      <c r="G1347" s="194"/>
      <c r="H1347" s="194"/>
      <c r="I1347" s="194"/>
      <c r="J1347" s="194"/>
      <c r="K1347" s="194"/>
      <c r="L1347" s="194"/>
    </row>
    <row r="1348" spans="1:12" x14ac:dyDescent="0.3">
      <c r="A1348" s="194"/>
      <c r="B1348" s="194"/>
      <c r="C1348" s="194"/>
      <c r="D1348" s="194"/>
      <c r="E1348" s="194"/>
      <c r="F1348" s="194"/>
      <c r="G1348" s="194"/>
      <c r="H1348" s="194"/>
      <c r="I1348" s="194"/>
      <c r="J1348" s="194"/>
      <c r="K1348" s="194"/>
      <c r="L1348" s="194"/>
    </row>
    <row r="1349" spans="1:12" x14ac:dyDescent="0.3">
      <c r="A1349" s="194"/>
      <c r="B1349" s="194"/>
      <c r="C1349" s="194"/>
      <c r="D1349" s="194"/>
      <c r="E1349" s="194"/>
      <c r="F1349" s="194"/>
      <c r="G1349" s="194"/>
      <c r="H1349" s="194"/>
      <c r="I1349" s="194"/>
      <c r="J1349" s="194"/>
      <c r="K1349" s="194"/>
      <c r="L1349" s="194"/>
    </row>
    <row r="1350" spans="1:12" x14ac:dyDescent="0.3">
      <c r="A1350" s="194"/>
      <c r="B1350" s="194"/>
      <c r="C1350" s="194"/>
      <c r="D1350" s="194"/>
      <c r="E1350" s="194"/>
      <c r="F1350" s="194"/>
      <c r="G1350" s="194"/>
      <c r="H1350" s="194"/>
      <c r="I1350" s="194"/>
      <c r="J1350" s="194"/>
      <c r="K1350" s="194"/>
      <c r="L1350" s="194"/>
    </row>
    <row r="1351" spans="1:12" x14ac:dyDescent="0.3">
      <c r="A1351" s="194"/>
      <c r="B1351" s="194"/>
      <c r="C1351" s="194"/>
      <c r="D1351" s="194"/>
      <c r="E1351" s="194"/>
      <c r="F1351" s="194"/>
      <c r="G1351" s="194"/>
      <c r="H1351" s="194"/>
      <c r="I1351" s="194"/>
      <c r="J1351" s="194"/>
      <c r="K1351" s="194"/>
      <c r="L1351" s="194"/>
    </row>
    <row r="1352" spans="1:12" x14ac:dyDescent="0.3">
      <c r="A1352" s="194"/>
      <c r="B1352" s="194"/>
      <c r="C1352" s="194"/>
      <c r="D1352" s="194"/>
      <c r="E1352" s="194"/>
      <c r="F1352" s="194"/>
      <c r="G1352" s="194"/>
      <c r="H1352" s="194"/>
      <c r="I1352" s="194"/>
      <c r="J1352" s="194"/>
      <c r="K1352" s="194"/>
      <c r="L1352" s="194"/>
    </row>
    <row r="1353" spans="1:12" x14ac:dyDescent="0.3">
      <c r="A1353" s="194"/>
      <c r="B1353" s="194"/>
      <c r="C1353" s="194"/>
      <c r="D1353" s="194"/>
      <c r="E1353" s="194"/>
      <c r="F1353" s="194"/>
      <c r="G1353" s="194"/>
      <c r="H1353" s="194"/>
      <c r="I1353" s="194"/>
      <c r="J1353" s="194"/>
      <c r="K1353" s="194"/>
      <c r="L1353" s="194"/>
    </row>
    <row r="1354" spans="1:12" x14ac:dyDescent="0.3">
      <c r="A1354" s="194"/>
      <c r="B1354" s="194"/>
      <c r="C1354" s="194"/>
      <c r="D1354" s="194"/>
      <c r="E1354" s="194"/>
      <c r="F1354" s="194"/>
      <c r="G1354" s="194"/>
      <c r="H1354" s="194"/>
      <c r="I1354" s="194"/>
      <c r="J1354" s="194"/>
      <c r="K1354" s="194"/>
      <c r="L1354" s="194"/>
    </row>
    <row r="1355" spans="1:12" x14ac:dyDescent="0.3">
      <c r="A1355" s="194"/>
      <c r="B1355" s="194"/>
      <c r="C1355" s="194"/>
      <c r="D1355" s="194"/>
      <c r="E1355" s="194"/>
      <c r="F1355" s="194"/>
      <c r="G1355" s="194"/>
      <c r="H1355" s="194"/>
      <c r="I1355" s="194"/>
      <c r="J1355" s="194"/>
      <c r="K1355" s="194"/>
      <c r="L1355" s="194"/>
    </row>
    <row r="1356" spans="1:12" x14ac:dyDescent="0.3">
      <c r="A1356" s="194"/>
      <c r="B1356" s="194"/>
      <c r="C1356" s="194"/>
      <c r="D1356" s="194"/>
      <c r="E1356" s="194"/>
      <c r="F1356" s="194"/>
      <c r="G1356" s="194"/>
      <c r="H1356" s="194"/>
      <c r="I1356" s="194"/>
      <c r="J1356" s="194"/>
      <c r="K1356" s="194"/>
      <c r="L1356" s="194"/>
    </row>
    <row r="1357" spans="1:12" x14ac:dyDescent="0.3">
      <c r="A1357" s="194"/>
      <c r="B1357" s="194"/>
      <c r="C1357" s="194"/>
      <c r="D1357" s="194"/>
      <c r="E1357" s="194"/>
      <c r="F1357" s="194"/>
      <c r="G1357" s="194"/>
      <c r="H1357" s="194"/>
      <c r="I1357" s="194"/>
      <c r="J1357" s="194"/>
      <c r="K1357" s="194"/>
      <c r="L1357" s="194"/>
    </row>
    <row r="1358" spans="1:12" x14ac:dyDescent="0.3">
      <c r="A1358" s="194"/>
      <c r="B1358" s="194"/>
      <c r="C1358" s="194"/>
      <c r="D1358" s="194"/>
      <c r="E1358" s="194"/>
      <c r="F1358" s="194"/>
      <c r="G1358" s="194"/>
      <c r="H1358" s="194"/>
      <c r="I1358" s="194"/>
      <c r="J1358" s="194"/>
      <c r="K1358" s="194"/>
      <c r="L1358" s="194"/>
    </row>
    <row r="1359" spans="1:12" x14ac:dyDescent="0.3">
      <c r="A1359" s="194"/>
      <c r="B1359" s="194"/>
      <c r="C1359" s="194"/>
      <c r="D1359" s="194"/>
      <c r="E1359" s="194"/>
      <c r="F1359" s="194"/>
      <c r="G1359" s="194"/>
      <c r="H1359" s="194"/>
      <c r="I1359" s="194"/>
      <c r="J1359" s="194"/>
      <c r="K1359" s="194"/>
      <c r="L1359" s="194"/>
    </row>
    <row r="1360" spans="1:12" x14ac:dyDescent="0.3">
      <c r="A1360" s="194"/>
      <c r="B1360" s="194"/>
      <c r="C1360" s="194"/>
      <c r="D1360" s="194"/>
      <c r="E1360" s="194"/>
      <c r="F1360" s="194"/>
      <c r="G1360" s="194"/>
      <c r="H1360" s="194"/>
      <c r="I1360" s="194"/>
      <c r="J1360" s="194"/>
      <c r="K1360" s="194"/>
      <c r="L1360" s="194"/>
    </row>
    <row r="1361" spans="1:12" x14ac:dyDescent="0.3">
      <c r="A1361" s="194"/>
      <c r="B1361" s="194"/>
      <c r="C1361" s="194"/>
      <c r="D1361" s="194"/>
      <c r="E1361" s="194"/>
      <c r="F1361" s="194"/>
      <c r="G1361" s="194"/>
      <c r="H1361" s="194"/>
      <c r="I1361" s="194"/>
      <c r="J1361" s="194"/>
      <c r="K1361" s="194"/>
      <c r="L1361" s="194"/>
    </row>
    <row r="1362" spans="1:12" x14ac:dyDescent="0.3">
      <c r="A1362" s="194"/>
      <c r="B1362" s="194"/>
      <c r="C1362" s="194"/>
      <c r="D1362" s="194"/>
      <c r="E1362" s="194"/>
      <c r="F1362" s="194"/>
      <c r="G1362" s="194"/>
      <c r="H1362" s="194"/>
      <c r="I1362" s="194"/>
      <c r="J1362" s="194"/>
      <c r="K1362" s="194"/>
      <c r="L1362" s="194"/>
    </row>
    <row r="1363" spans="1:12" x14ac:dyDescent="0.3">
      <c r="A1363" s="194"/>
      <c r="B1363" s="194"/>
      <c r="C1363" s="194"/>
      <c r="D1363" s="194"/>
      <c r="E1363" s="194"/>
      <c r="F1363" s="194"/>
      <c r="G1363" s="194"/>
      <c r="H1363" s="194"/>
      <c r="I1363" s="194"/>
      <c r="J1363" s="194"/>
      <c r="K1363" s="194"/>
      <c r="L1363" s="194"/>
    </row>
    <row r="1364" spans="1:12" x14ac:dyDescent="0.3">
      <c r="A1364" s="194"/>
      <c r="B1364" s="194"/>
      <c r="C1364" s="194"/>
      <c r="D1364" s="194"/>
      <c r="E1364" s="194"/>
      <c r="F1364" s="194"/>
      <c r="G1364" s="194"/>
      <c r="H1364" s="194"/>
      <c r="I1364" s="194"/>
      <c r="J1364" s="194"/>
      <c r="K1364" s="194"/>
      <c r="L1364" s="194"/>
    </row>
    <row r="1365" spans="1:12" x14ac:dyDescent="0.3">
      <c r="A1365" s="194"/>
      <c r="B1365" s="194"/>
      <c r="C1365" s="194"/>
      <c r="D1365" s="194"/>
      <c r="E1365" s="194"/>
      <c r="F1365" s="194"/>
      <c r="G1365" s="194"/>
      <c r="H1365" s="194"/>
      <c r="I1365" s="194"/>
      <c r="J1365" s="194"/>
      <c r="K1365" s="194"/>
      <c r="L1365" s="194"/>
    </row>
    <row r="1366" spans="1:12" x14ac:dyDescent="0.3">
      <c r="A1366" s="194"/>
      <c r="B1366" s="194"/>
      <c r="C1366" s="194"/>
      <c r="D1366" s="194"/>
      <c r="E1366" s="194"/>
      <c r="F1366" s="194"/>
      <c r="G1366" s="194"/>
      <c r="H1366" s="194"/>
      <c r="I1366" s="194"/>
      <c r="J1366" s="194"/>
      <c r="K1366" s="194"/>
      <c r="L1366" s="194"/>
    </row>
    <row r="1367" spans="1:12" x14ac:dyDescent="0.3">
      <c r="A1367" s="194"/>
      <c r="B1367" s="194"/>
      <c r="C1367" s="194"/>
      <c r="D1367" s="194"/>
      <c r="E1367" s="194"/>
      <c r="F1367" s="194"/>
      <c r="G1367" s="194"/>
      <c r="H1367" s="194"/>
      <c r="I1367" s="194"/>
      <c r="J1367" s="194"/>
      <c r="K1367" s="194"/>
      <c r="L1367" s="194"/>
    </row>
    <row r="1368" spans="1:12" x14ac:dyDescent="0.3">
      <c r="A1368" s="194"/>
      <c r="B1368" s="194"/>
      <c r="C1368" s="194"/>
      <c r="D1368" s="194"/>
      <c r="E1368" s="194"/>
      <c r="F1368" s="194"/>
      <c r="G1368" s="194"/>
      <c r="H1368" s="194"/>
      <c r="I1368" s="194"/>
      <c r="J1368" s="194"/>
      <c r="K1368" s="194"/>
      <c r="L1368" s="194"/>
    </row>
    <row r="1369" spans="1:12" x14ac:dyDescent="0.3">
      <c r="A1369" s="194"/>
      <c r="B1369" s="194"/>
      <c r="C1369" s="194"/>
      <c r="D1369" s="194"/>
      <c r="E1369" s="194"/>
      <c r="F1369" s="194"/>
      <c r="G1369" s="194"/>
      <c r="H1369" s="194"/>
      <c r="I1369" s="194"/>
      <c r="J1369" s="194"/>
      <c r="K1369" s="194"/>
      <c r="L1369" s="194"/>
    </row>
    <row r="1370" spans="1:12" x14ac:dyDescent="0.3">
      <c r="A1370" s="194"/>
      <c r="B1370" s="194"/>
      <c r="C1370" s="194"/>
      <c r="D1370" s="194"/>
      <c r="E1370" s="194"/>
      <c r="F1370" s="194"/>
      <c r="G1370" s="194"/>
      <c r="H1370" s="194"/>
      <c r="I1370" s="194"/>
      <c r="J1370" s="194"/>
      <c r="K1370" s="194"/>
      <c r="L1370" s="194"/>
    </row>
    <row r="1371" spans="1:12" x14ac:dyDescent="0.3">
      <c r="A1371" s="194"/>
      <c r="B1371" s="194"/>
      <c r="C1371" s="194"/>
      <c r="D1371" s="194"/>
      <c r="E1371" s="194"/>
      <c r="F1371" s="194"/>
      <c r="G1371" s="194"/>
      <c r="H1371" s="194"/>
      <c r="I1371" s="194"/>
      <c r="J1371" s="194"/>
      <c r="K1371" s="194"/>
      <c r="L1371" s="194"/>
    </row>
    <row r="1372" spans="1:12" x14ac:dyDescent="0.3">
      <c r="A1372" s="194"/>
      <c r="B1372" s="194"/>
      <c r="C1372" s="194"/>
      <c r="D1372" s="194"/>
      <c r="E1372" s="194"/>
      <c r="F1372" s="194"/>
      <c r="G1372" s="194"/>
      <c r="H1372" s="194"/>
      <c r="I1372" s="194"/>
      <c r="J1372" s="194"/>
      <c r="K1372" s="194"/>
      <c r="L1372" s="194"/>
    </row>
    <row r="1373" spans="1:12" x14ac:dyDescent="0.3">
      <c r="A1373" s="194"/>
      <c r="B1373" s="194"/>
      <c r="C1373" s="194"/>
      <c r="D1373" s="194"/>
      <c r="E1373" s="194"/>
      <c r="F1373" s="194"/>
      <c r="G1373" s="194"/>
      <c r="H1373" s="194"/>
      <c r="I1373" s="194"/>
      <c r="J1373" s="194"/>
      <c r="K1373" s="194"/>
      <c r="L1373" s="194"/>
    </row>
    <row r="1374" spans="1:12" x14ac:dyDescent="0.3">
      <c r="A1374" s="194"/>
      <c r="B1374" s="194"/>
      <c r="C1374" s="194"/>
      <c r="D1374" s="194"/>
      <c r="E1374" s="194"/>
      <c r="F1374" s="194"/>
      <c r="G1374" s="194"/>
      <c r="H1374" s="194"/>
      <c r="I1374" s="194"/>
      <c r="J1374" s="194"/>
      <c r="K1374" s="194"/>
      <c r="L1374" s="194"/>
    </row>
    <row r="1375" spans="1:12" x14ac:dyDescent="0.3">
      <c r="A1375" s="194"/>
      <c r="B1375" s="194"/>
      <c r="C1375" s="194"/>
      <c r="D1375" s="194"/>
      <c r="E1375" s="194"/>
      <c r="F1375" s="194"/>
      <c r="G1375" s="194"/>
      <c r="H1375" s="194"/>
      <c r="I1375" s="194"/>
      <c r="J1375" s="194"/>
      <c r="K1375" s="194"/>
      <c r="L1375" s="194"/>
    </row>
    <row r="1376" spans="1:12" x14ac:dyDescent="0.3">
      <c r="A1376" s="194"/>
      <c r="B1376" s="194"/>
      <c r="C1376" s="194"/>
      <c r="D1376" s="194"/>
      <c r="E1376" s="194"/>
      <c r="F1376" s="194"/>
      <c r="G1376" s="194"/>
      <c r="H1376" s="194"/>
      <c r="I1376" s="194"/>
      <c r="J1376" s="194"/>
      <c r="K1376" s="194"/>
      <c r="L1376" s="194"/>
    </row>
    <row r="1377" spans="1:12" x14ac:dyDescent="0.3">
      <c r="A1377" s="194"/>
      <c r="B1377" s="194"/>
      <c r="C1377" s="194"/>
      <c r="D1377" s="194"/>
      <c r="E1377" s="194"/>
      <c r="F1377" s="194"/>
      <c r="G1377" s="194"/>
      <c r="H1377" s="194"/>
      <c r="I1377" s="194"/>
      <c r="J1377" s="194"/>
      <c r="K1377" s="194"/>
      <c r="L1377" s="194"/>
    </row>
    <row r="1378" spans="1:12" x14ac:dyDescent="0.3">
      <c r="A1378" s="194"/>
      <c r="B1378" s="194"/>
      <c r="C1378" s="194"/>
      <c r="D1378" s="194"/>
      <c r="E1378" s="194"/>
      <c r="F1378" s="194"/>
      <c r="G1378" s="194"/>
      <c r="H1378" s="194"/>
      <c r="I1378" s="194"/>
      <c r="J1378" s="194"/>
      <c r="K1378" s="194"/>
      <c r="L1378" s="194"/>
    </row>
    <row r="1379" spans="1:12" x14ac:dyDescent="0.3">
      <c r="A1379" s="194"/>
      <c r="B1379" s="194"/>
      <c r="C1379" s="194"/>
      <c r="D1379" s="194"/>
      <c r="E1379" s="194"/>
      <c r="F1379" s="194"/>
      <c r="G1379" s="194"/>
      <c r="H1379" s="194"/>
      <c r="I1379" s="194"/>
      <c r="J1379" s="194"/>
      <c r="K1379" s="194"/>
      <c r="L1379" s="194"/>
    </row>
    <row r="1380" spans="1:12" x14ac:dyDescent="0.3">
      <c r="A1380" s="194"/>
      <c r="B1380" s="194"/>
      <c r="C1380" s="194"/>
      <c r="D1380" s="194"/>
      <c r="E1380" s="194"/>
      <c r="F1380" s="194"/>
      <c r="G1380" s="194"/>
      <c r="H1380" s="194"/>
      <c r="I1380" s="194"/>
      <c r="J1380" s="194"/>
      <c r="K1380" s="194"/>
      <c r="L1380" s="194"/>
    </row>
    <row r="1381" spans="1:12" x14ac:dyDescent="0.3">
      <c r="A1381" s="194"/>
      <c r="B1381" s="194"/>
      <c r="C1381" s="194"/>
      <c r="D1381" s="194"/>
      <c r="E1381" s="194"/>
      <c r="F1381" s="194"/>
      <c r="G1381" s="194"/>
      <c r="H1381" s="194"/>
      <c r="I1381" s="194"/>
      <c r="J1381" s="194"/>
      <c r="K1381" s="194"/>
      <c r="L1381" s="194"/>
    </row>
    <row r="1382" spans="1:12" x14ac:dyDescent="0.3">
      <c r="A1382" s="194"/>
      <c r="B1382" s="194"/>
      <c r="C1382" s="194"/>
      <c r="D1382" s="194"/>
      <c r="E1382" s="194"/>
      <c r="F1382" s="194"/>
      <c r="G1382" s="194"/>
      <c r="H1382" s="194"/>
      <c r="I1382" s="194"/>
      <c r="J1382" s="194"/>
      <c r="K1382" s="194"/>
      <c r="L1382" s="194"/>
    </row>
    <row r="1383" spans="1:12" x14ac:dyDescent="0.3">
      <c r="A1383" s="194"/>
      <c r="B1383" s="194"/>
      <c r="C1383" s="194"/>
      <c r="D1383" s="194"/>
      <c r="E1383" s="194"/>
      <c r="F1383" s="194"/>
      <c r="G1383" s="194"/>
      <c r="H1383" s="194"/>
      <c r="I1383" s="194"/>
      <c r="J1383" s="194"/>
      <c r="K1383" s="194"/>
      <c r="L1383" s="194"/>
    </row>
    <row r="1384" spans="1:12" x14ac:dyDescent="0.3">
      <c r="A1384" s="194"/>
      <c r="B1384" s="194"/>
      <c r="C1384" s="194"/>
      <c r="D1384" s="194"/>
      <c r="E1384" s="194"/>
      <c r="F1384" s="194"/>
      <c r="G1384" s="194"/>
      <c r="H1384" s="194"/>
      <c r="I1384" s="194"/>
      <c r="J1384" s="194"/>
      <c r="K1384" s="194"/>
      <c r="L1384" s="194"/>
    </row>
    <row r="1385" spans="1:12" x14ac:dyDescent="0.3">
      <c r="A1385" s="194"/>
      <c r="B1385" s="194"/>
      <c r="C1385" s="194"/>
      <c r="D1385" s="194"/>
      <c r="E1385" s="194"/>
      <c r="F1385" s="194"/>
      <c r="G1385" s="194"/>
      <c r="H1385" s="194"/>
      <c r="I1385" s="194"/>
      <c r="J1385" s="194"/>
      <c r="K1385" s="194"/>
      <c r="L1385" s="194"/>
    </row>
    <row r="1386" spans="1:12" x14ac:dyDescent="0.3">
      <c r="A1386" s="194"/>
      <c r="B1386" s="194"/>
      <c r="C1386" s="194"/>
      <c r="D1386" s="194"/>
      <c r="E1386" s="194"/>
      <c r="F1386" s="194"/>
      <c r="G1386" s="194"/>
      <c r="H1386" s="194"/>
      <c r="I1386" s="194"/>
      <c r="J1386" s="194"/>
      <c r="K1386" s="194"/>
      <c r="L1386" s="194"/>
    </row>
    <row r="1387" spans="1:12" x14ac:dyDescent="0.3">
      <c r="A1387" s="194"/>
      <c r="B1387" s="194"/>
      <c r="C1387" s="194"/>
      <c r="D1387" s="194"/>
      <c r="E1387" s="194"/>
      <c r="F1387" s="194"/>
      <c r="G1387" s="194"/>
      <c r="H1387" s="194"/>
      <c r="I1387" s="194"/>
      <c r="J1387" s="194"/>
      <c r="K1387" s="194"/>
      <c r="L1387" s="194"/>
    </row>
    <row r="1388" spans="1:12" x14ac:dyDescent="0.3">
      <c r="A1388" s="194"/>
      <c r="B1388" s="194"/>
      <c r="C1388" s="194"/>
      <c r="D1388" s="194"/>
      <c r="E1388" s="194"/>
      <c r="F1388" s="194"/>
      <c r="G1388" s="194"/>
      <c r="H1388" s="194"/>
      <c r="I1388" s="194"/>
      <c r="J1388" s="194"/>
      <c r="K1388" s="194"/>
      <c r="L1388" s="194"/>
    </row>
    <row r="1389" spans="1:12" x14ac:dyDescent="0.3">
      <c r="A1389" s="194"/>
      <c r="B1389" s="194"/>
      <c r="C1389" s="194"/>
      <c r="D1389" s="194"/>
      <c r="E1389" s="194"/>
      <c r="F1389" s="194"/>
      <c r="G1389" s="194"/>
      <c r="H1389" s="194"/>
      <c r="I1389" s="194"/>
      <c r="J1389" s="194"/>
      <c r="K1389" s="194"/>
      <c r="L1389" s="194"/>
    </row>
    <row r="1390" spans="1:12" x14ac:dyDescent="0.3">
      <c r="A1390" s="194"/>
      <c r="B1390" s="194"/>
      <c r="C1390" s="194"/>
      <c r="D1390" s="194"/>
      <c r="E1390" s="194"/>
      <c r="F1390" s="194"/>
      <c r="G1390" s="194"/>
      <c r="H1390" s="194"/>
      <c r="I1390" s="194"/>
      <c r="J1390" s="194"/>
      <c r="K1390" s="194"/>
      <c r="L1390" s="194"/>
    </row>
    <row r="1391" spans="1:12" x14ac:dyDescent="0.3">
      <c r="A1391" s="194"/>
      <c r="B1391" s="194"/>
      <c r="C1391" s="194"/>
      <c r="D1391" s="194"/>
      <c r="E1391" s="194"/>
      <c r="F1391" s="194"/>
      <c r="G1391" s="194"/>
      <c r="H1391" s="194"/>
      <c r="I1391" s="194"/>
      <c r="J1391" s="194"/>
      <c r="K1391" s="194"/>
      <c r="L1391" s="194"/>
    </row>
    <row r="1392" spans="1:12" x14ac:dyDescent="0.3">
      <c r="A1392" s="194"/>
      <c r="B1392" s="194"/>
      <c r="C1392" s="194"/>
      <c r="D1392" s="194"/>
      <c r="E1392" s="194"/>
      <c r="F1392" s="194"/>
      <c r="G1392" s="194"/>
      <c r="H1392" s="194"/>
      <c r="I1392" s="194"/>
      <c r="J1392" s="194"/>
      <c r="K1392" s="194"/>
      <c r="L1392" s="194"/>
    </row>
    <row r="1393" spans="1:12" x14ac:dyDescent="0.3">
      <c r="A1393" s="194"/>
      <c r="B1393" s="194"/>
      <c r="C1393" s="194"/>
      <c r="D1393" s="194"/>
      <c r="E1393" s="194"/>
      <c r="F1393" s="194"/>
      <c r="G1393" s="194"/>
      <c r="H1393" s="194"/>
      <c r="I1393" s="194"/>
      <c r="J1393" s="194"/>
      <c r="K1393" s="194"/>
      <c r="L1393" s="194"/>
    </row>
    <row r="1394" spans="1:12" x14ac:dyDescent="0.3">
      <c r="A1394" s="194"/>
      <c r="B1394" s="194"/>
      <c r="C1394" s="194"/>
      <c r="D1394" s="194"/>
      <c r="E1394" s="194"/>
      <c r="F1394" s="194"/>
      <c r="G1394" s="194"/>
      <c r="H1394" s="194"/>
      <c r="I1394" s="194"/>
      <c r="J1394" s="194"/>
      <c r="K1394" s="194"/>
      <c r="L1394" s="194"/>
    </row>
    <row r="1395" spans="1:12" x14ac:dyDescent="0.3">
      <c r="A1395" s="194"/>
      <c r="B1395" s="194"/>
      <c r="C1395" s="194"/>
      <c r="D1395" s="194"/>
      <c r="E1395" s="194"/>
      <c r="F1395" s="194"/>
      <c r="G1395" s="194"/>
      <c r="H1395" s="194"/>
      <c r="I1395" s="194"/>
      <c r="J1395" s="194"/>
      <c r="K1395" s="194"/>
      <c r="L1395" s="194"/>
    </row>
    <row r="1396" spans="1:12" x14ac:dyDescent="0.3">
      <c r="A1396" s="194"/>
      <c r="B1396" s="194"/>
      <c r="C1396" s="194"/>
      <c r="D1396" s="194"/>
      <c r="E1396" s="194"/>
      <c r="F1396" s="194"/>
      <c r="G1396" s="194"/>
      <c r="H1396" s="194"/>
      <c r="I1396" s="194"/>
      <c r="J1396" s="194"/>
      <c r="K1396" s="194"/>
      <c r="L1396" s="194"/>
    </row>
    <row r="1397" spans="1:12" x14ac:dyDescent="0.3">
      <c r="A1397" s="194"/>
      <c r="B1397" s="194"/>
      <c r="C1397" s="194"/>
      <c r="D1397" s="194"/>
      <c r="E1397" s="194"/>
      <c r="F1397" s="194"/>
      <c r="G1397" s="194"/>
      <c r="H1397" s="194"/>
      <c r="I1397" s="194"/>
      <c r="J1397" s="194"/>
      <c r="K1397" s="194"/>
      <c r="L1397" s="194"/>
    </row>
    <row r="1398" spans="1:12" x14ac:dyDescent="0.3">
      <c r="A1398" s="194"/>
      <c r="B1398" s="194"/>
      <c r="C1398" s="194"/>
      <c r="D1398" s="194"/>
      <c r="E1398" s="194"/>
      <c r="F1398" s="194"/>
      <c r="G1398" s="194"/>
      <c r="H1398" s="194"/>
      <c r="I1398" s="194"/>
      <c r="J1398" s="194"/>
      <c r="K1398" s="194"/>
      <c r="L1398" s="194"/>
    </row>
    <row r="1399" spans="1:12" x14ac:dyDescent="0.3">
      <c r="A1399" s="194"/>
      <c r="B1399" s="194"/>
      <c r="C1399" s="194"/>
      <c r="D1399" s="194"/>
      <c r="E1399" s="194"/>
      <c r="F1399" s="194"/>
      <c r="G1399" s="194"/>
      <c r="H1399" s="194"/>
      <c r="I1399" s="194"/>
      <c r="J1399" s="194"/>
      <c r="K1399" s="194"/>
      <c r="L1399" s="194"/>
    </row>
    <row r="1400" spans="1:12" x14ac:dyDescent="0.3">
      <c r="A1400" s="194"/>
      <c r="B1400" s="194"/>
      <c r="C1400" s="194"/>
      <c r="D1400" s="194"/>
      <c r="E1400" s="194"/>
      <c r="F1400" s="194"/>
      <c r="G1400" s="194"/>
      <c r="H1400" s="194"/>
      <c r="I1400" s="194"/>
      <c r="J1400" s="194"/>
      <c r="K1400" s="194"/>
      <c r="L1400" s="194"/>
    </row>
    <row r="1401" spans="1:12" x14ac:dyDescent="0.3">
      <c r="A1401" s="194"/>
      <c r="B1401" s="194"/>
      <c r="C1401" s="194"/>
      <c r="D1401" s="194"/>
      <c r="E1401" s="194"/>
      <c r="F1401" s="194"/>
      <c r="G1401" s="194"/>
      <c r="H1401" s="194"/>
      <c r="I1401" s="194"/>
      <c r="J1401" s="194"/>
      <c r="K1401" s="194"/>
      <c r="L1401" s="194"/>
    </row>
    <row r="1402" spans="1:12" x14ac:dyDescent="0.3">
      <c r="A1402" s="194"/>
      <c r="B1402" s="194"/>
      <c r="C1402" s="194"/>
      <c r="D1402" s="194"/>
      <c r="E1402" s="194"/>
      <c r="F1402" s="194"/>
      <c r="G1402" s="194"/>
      <c r="H1402" s="194"/>
      <c r="I1402" s="194"/>
      <c r="J1402" s="194"/>
      <c r="K1402" s="194"/>
      <c r="L1402" s="194"/>
    </row>
    <row r="1403" spans="1:12" x14ac:dyDescent="0.3">
      <c r="A1403" s="194"/>
      <c r="B1403" s="194"/>
      <c r="C1403" s="194"/>
      <c r="D1403" s="194"/>
      <c r="E1403" s="194"/>
      <c r="F1403" s="194"/>
      <c r="G1403" s="194"/>
      <c r="H1403" s="194"/>
      <c r="I1403" s="194"/>
      <c r="J1403" s="194"/>
      <c r="K1403" s="194"/>
      <c r="L1403" s="194"/>
    </row>
    <row r="1404" spans="1:12" x14ac:dyDescent="0.3">
      <c r="A1404" s="194"/>
      <c r="B1404" s="194"/>
      <c r="C1404" s="194"/>
      <c r="D1404" s="194"/>
      <c r="E1404" s="194"/>
      <c r="F1404" s="194"/>
      <c r="G1404" s="194"/>
      <c r="H1404" s="194"/>
      <c r="I1404" s="194"/>
      <c r="J1404" s="194"/>
      <c r="K1404" s="194"/>
      <c r="L1404" s="194"/>
    </row>
    <row r="1405" spans="1:12" x14ac:dyDescent="0.3">
      <c r="A1405" s="194"/>
      <c r="B1405" s="194"/>
      <c r="C1405" s="194"/>
      <c r="D1405" s="194"/>
      <c r="E1405" s="194"/>
      <c r="F1405" s="194"/>
      <c r="G1405" s="194"/>
      <c r="H1405" s="194"/>
      <c r="I1405" s="194"/>
      <c r="J1405" s="194"/>
      <c r="K1405" s="194"/>
      <c r="L1405" s="194"/>
    </row>
    <row r="1406" spans="1:12" x14ac:dyDescent="0.3">
      <c r="A1406" s="194"/>
      <c r="B1406" s="194"/>
      <c r="C1406" s="194"/>
      <c r="D1406" s="194"/>
      <c r="E1406" s="194"/>
      <c r="F1406" s="194"/>
      <c r="G1406" s="194"/>
      <c r="H1406" s="194"/>
      <c r="I1406" s="194"/>
      <c r="J1406" s="194"/>
      <c r="K1406" s="194"/>
      <c r="L1406" s="194"/>
    </row>
    <row r="1407" spans="1:12" x14ac:dyDescent="0.3">
      <c r="A1407" s="194"/>
      <c r="B1407" s="194"/>
      <c r="C1407" s="194"/>
      <c r="D1407" s="194"/>
      <c r="E1407" s="194"/>
      <c r="F1407" s="194"/>
      <c r="G1407" s="194"/>
      <c r="H1407" s="194"/>
      <c r="I1407" s="194"/>
      <c r="J1407" s="194"/>
      <c r="K1407" s="194"/>
      <c r="L1407" s="194"/>
    </row>
    <row r="1408" spans="1:12" x14ac:dyDescent="0.3">
      <c r="A1408" s="194"/>
      <c r="B1408" s="194"/>
      <c r="C1408" s="194"/>
      <c r="D1408" s="194"/>
      <c r="E1408" s="194"/>
      <c r="F1408" s="194"/>
      <c r="G1408" s="194"/>
      <c r="H1408" s="194"/>
      <c r="I1408" s="194"/>
      <c r="J1408" s="194"/>
      <c r="K1408" s="194"/>
      <c r="L1408" s="194"/>
    </row>
    <row r="1409" spans="1:12" x14ac:dyDescent="0.3">
      <c r="A1409" s="194"/>
      <c r="B1409" s="194"/>
      <c r="C1409" s="194"/>
      <c r="D1409" s="194"/>
      <c r="E1409" s="194"/>
      <c r="F1409" s="194"/>
      <c r="G1409" s="194"/>
      <c r="H1409" s="194"/>
      <c r="I1409" s="194"/>
      <c r="J1409" s="194"/>
      <c r="K1409" s="194"/>
      <c r="L1409" s="194"/>
    </row>
    <row r="1410" spans="1:12" x14ac:dyDescent="0.3">
      <c r="A1410" s="194"/>
      <c r="B1410" s="194"/>
      <c r="C1410" s="194"/>
      <c r="D1410" s="194"/>
      <c r="E1410" s="194"/>
      <c r="F1410" s="194"/>
      <c r="G1410" s="194"/>
      <c r="H1410" s="194"/>
      <c r="I1410" s="194"/>
      <c r="J1410" s="194"/>
      <c r="K1410" s="194"/>
      <c r="L1410" s="194"/>
    </row>
    <row r="1411" spans="1:12" x14ac:dyDescent="0.3">
      <c r="A1411" s="194"/>
      <c r="B1411" s="194"/>
      <c r="C1411" s="194"/>
      <c r="D1411" s="194"/>
      <c r="E1411" s="194"/>
      <c r="F1411" s="194"/>
      <c r="G1411" s="194"/>
      <c r="H1411" s="194"/>
      <c r="I1411" s="194"/>
      <c r="J1411" s="194"/>
      <c r="K1411" s="194"/>
      <c r="L1411" s="194"/>
    </row>
    <row r="1412" spans="1:12" x14ac:dyDescent="0.3">
      <c r="A1412" s="194"/>
      <c r="B1412" s="194"/>
      <c r="C1412" s="194"/>
      <c r="D1412" s="194"/>
      <c r="E1412" s="194"/>
      <c r="F1412" s="194"/>
      <c r="G1412" s="194"/>
      <c r="H1412" s="194"/>
      <c r="I1412" s="194"/>
      <c r="J1412" s="194"/>
      <c r="K1412" s="194"/>
      <c r="L1412" s="194"/>
    </row>
    <row r="1413" spans="1:12" x14ac:dyDescent="0.3">
      <c r="A1413" s="194"/>
      <c r="B1413" s="194"/>
      <c r="C1413" s="194"/>
      <c r="D1413" s="194"/>
      <c r="E1413" s="194"/>
      <c r="F1413" s="194"/>
      <c r="G1413" s="194"/>
      <c r="H1413" s="194"/>
      <c r="I1413" s="194"/>
      <c r="J1413" s="194"/>
      <c r="K1413" s="194"/>
      <c r="L1413" s="194"/>
    </row>
    <row r="1414" spans="1:12" x14ac:dyDescent="0.3">
      <c r="A1414" s="194"/>
      <c r="B1414" s="194"/>
      <c r="C1414" s="194"/>
      <c r="D1414" s="194"/>
      <c r="E1414" s="194"/>
      <c r="F1414" s="194"/>
      <c r="G1414" s="194"/>
      <c r="H1414" s="194"/>
      <c r="I1414" s="194"/>
      <c r="J1414" s="194"/>
      <c r="K1414" s="194"/>
      <c r="L1414" s="194"/>
    </row>
    <row r="1415" spans="1:12" x14ac:dyDescent="0.3">
      <c r="A1415" s="194"/>
      <c r="B1415" s="194"/>
      <c r="C1415" s="194"/>
      <c r="D1415" s="194"/>
      <c r="E1415" s="194"/>
      <c r="F1415" s="194"/>
      <c r="G1415" s="194"/>
      <c r="H1415" s="194"/>
      <c r="I1415" s="194"/>
      <c r="J1415" s="194"/>
      <c r="K1415" s="194"/>
      <c r="L1415" s="194"/>
    </row>
    <row r="1416" spans="1:12" x14ac:dyDescent="0.3">
      <c r="A1416" s="194"/>
      <c r="B1416" s="194"/>
      <c r="C1416" s="194"/>
      <c r="D1416" s="194"/>
      <c r="E1416" s="194"/>
      <c r="F1416" s="194"/>
      <c r="G1416" s="194"/>
      <c r="H1416" s="194"/>
      <c r="I1416" s="194"/>
      <c r="J1416" s="194"/>
      <c r="K1416" s="194"/>
      <c r="L1416" s="194"/>
    </row>
    <row r="1417" spans="1:12" x14ac:dyDescent="0.3">
      <c r="A1417" s="194"/>
      <c r="B1417" s="194"/>
      <c r="C1417" s="194"/>
      <c r="D1417" s="194"/>
      <c r="E1417" s="194"/>
      <c r="F1417" s="194"/>
      <c r="G1417" s="194"/>
      <c r="H1417" s="194"/>
      <c r="I1417" s="194"/>
      <c r="J1417" s="194"/>
      <c r="K1417" s="194"/>
      <c r="L1417" s="194"/>
    </row>
    <row r="1418" spans="1:12" x14ac:dyDescent="0.3">
      <c r="A1418" s="194"/>
      <c r="B1418" s="194"/>
      <c r="C1418" s="194"/>
      <c r="D1418" s="194"/>
      <c r="E1418" s="194"/>
      <c r="F1418" s="194"/>
      <c r="G1418" s="194"/>
      <c r="H1418" s="194"/>
      <c r="I1418" s="194"/>
      <c r="J1418" s="194"/>
      <c r="K1418" s="194"/>
      <c r="L1418" s="194"/>
    </row>
    <row r="1419" spans="1:12" x14ac:dyDescent="0.3">
      <c r="A1419" s="194"/>
      <c r="B1419" s="194"/>
      <c r="C1419" s="194"/>
      <c r="D1419" s="194"/>
      <c r="E1419" s="194"/>
      <c r="F1419" s="194"/>
      <c r="G1419" s="194"/>
      <c r="H1419" s="194"/>
      <c r="I1419" s="194"/>
      <c r="J1419" s="194"/>
      <c r="K1419" s="194"/>
      <c r="L1419" s="194"/>
    </row>
    <row r="1420" spans="1:12" x14ac:dyDescent="0.3">
      <c r="A1420" s="194"/>
      <c r="B1420" s="194"/>
      <c r="C1420" s="194"/>
      <c r="D1420" s="194"/>
      <c r="E1420" s="194"/>
      <c r="F1420" s="194"/>
      <c r="G1420" s="194"/>
      <c r="H1420" s="194"/>
      <c r="I1420" s="194"/>
      <c r="J1420" s="194"/>
      <c r="K1420" s="194"/>
      <c r="L1420" s="194"/>
    </row>
    <row r="1421" spans="1:12" x14ac:dyDescent="0.3">
      <c r="A1421" s="194"/>
      <c r="B1421" s="194"/>
      <c r="C1421" s="194"/>
      <c r="D1421" s="194"/>
      <c r="E1421" s="194"/>
      <c r="F1421" s="194"/>
      <c r="G1421" s="194"/>
      <c r="H1421" s="194"/>
      <c r="I1421" s="194"/>
      <c r="J1421" s="194"/>
      <c r="K1421" s="194"/>
      <c r="L1421" s="194"/>
    </row>
    <row r="1422" spans="1:12" x14ac:dyDescent="0.3">
      <c r="A1422" s="194"/>
      <c r="B1422" s="194"/>
      <c r="C1422" s="194"/>
      <c r="D1422" s="194"/>
      <c r="E1422" s="194"/>
      <c r="F1422" s="194"/>
      <c r="G1422" s="194"/>
      <c r="H1422" s="194"/>
      <c r="I1422" s="194"/>
      <c r="J1422" s="194"/>
      <c r="K1422" s="194"/>
      <c r="L1422" s="194"/>
    </row>
    <row r="1423" spans="1:12" x14ac:dyDescent="0.3">
      <c r="A1423" s="194"/>
      <c r="B1423" s="194"/>
      <c r="C1423" s="194"/>
      <c r="D1423" s="194"/>
      <c r="E1423" s="194"/>
      <c r="F1423" s="194"/>
      <c r="G1423" s="194"/>
      <c r="H1423" s="194"/>
      <c r="I1423" s="194"/>
      <c r="J1423" s="194"/>
      <c r="K1423" s="194"/>
      <c r="L1423" s="194"/>
    </row>
    <row r="1424" spans="1:12" x14ac:dyDescent="0.3">
      <c r="A1424" s="194"/>
      <c r="B1424" s="194"/>
      <c r="C1424" s="194"/>
      <c r="D1424" s="194"/>
      <c r="E1424" s="194"/>
      <c r="F1424" s="194"/>
      <c r="G1424" s="194"/>
      <c r="H1424" s="194"/>
      <c r="I1424" s="194"/>
      <c r="J1424" s="194"/>
      <c r="K1424" s="194"/>
      <c r="L1424" s="194"/>
    </row>
    <row r="1425" spans="1:12" x14ac:dyDescent="0.3">
      <c r="A1425" s="194"/>
      <c r="B1425" s="194"/>
      <c r="C1425" s="194"/>
      <c r="D1425" s="194"/>
      <c r="E1425" s="194"/>
      <c r="F1425" s="194"/>
      <c r="G1425" s="194"/>
      <c r="H1425" s="194"/>
      <c r="I1425" s="194"/>
      <c r="J1425" s="194"/>
      <c r="K1425" s="194"/>
      <c r="L1425" s="194"/>
    </row>
    <row r="1426" spans="1:12" x14ac:dyDescent="0.3">
      <c r="A1426" s="194"/>
      <c r="B1426" s="194"/>
      <c r="C1426" s="194"/>
      <c r="D1426" s="194"/>
      <c r="E1426" s="194"/>
      <c r="F1426" s="194"/>
      <c r="G1426" s="194"/>
      <c r="H1426" s="194"/>
      <c r="I1426" s="194"/>
      <c r="J1426" s="194"/>
      <c r="K1426" s="194"/>
      <c r="L1426" s="194"/>
    </row>
    <row r="1427" spans="1:12" x14ac:dyDescent="0.3">
      <c r="A1427" s="194"/>
      <c r="B1427" s="194"/>
      <c r="C1427" s="194"/>
      <c r="D1427" s="194"/>
      <c r="E1427" s="194"/>
      <c r="F1427" s="194"/>
      <c r="G1427" s="194"/>
      <c r="H1427" s="194"/>
      <c r="I1427" s="194"/>
      <c r="J1427" s="194"/>
      <c r="K1427" s="194"/>
      <c r="L1427" s="194"/>
    </row>
    <row r="1428" spans="1:12" x14ac:dyDescent="0.3">
      <c r="A1428" s="194"/>
      <c r="B1428" s="194"/>
      <c r="C1428" s="194"/>
      <c r="D1428" s="194"/>
      <c r="E1428" s="194"/>
      <c r="F1428" s="194"/>
      <c r="G1428" s="194"/>
      <c r="H1428" s="194"/>
      <c r="I1428" s="194"/>
      <c r="J1428" s="194"/>
      <c r="K1428" s="194"/>
      <c r="L1428" s="194"/>
    </row>
    <row r="1429" spans="1:12" x14ac:dyDescent="0.3">
      <c r="A1429" s="194"/>
      <c r="B1429" s="194"/>
      <c r="C1429" s="194"/>
      <c r="D1429" s="194"/>
      <c r="E1429" s="194"/>
      <c r="F1429" s="194"/>
      <c r="G1429" s="194"/>
      <c r="H1429" s="194"/>
      <c r="I1429" s="194"/>
      <c r="J1429" s="194"/>
      <c r="K1429" s="194"/>
      <c r="L1429" s="194"/>
    </row>
    <row r="1430" spans="1:12" x14ac:dyDescent="0.3">
      <c r="A1430" s="194"/>
      <c r="B1430" s="194"/>
      <c r="C1430" s="194"/>
      <c r="D1430" s="194"/>
      <c r="E1430" s="194"/>
      <c r="F1430" s="194"/>
      <c r="G1430" s="194"/>
      <c r="H1430" s="194"/>
      <c r="I1430" s="194"/>
      <c r="J1430" s="194"/>
      <c r="K1430" s="194"/>
      <c r="L1430" s="194"/>
    </row>
    <row r="1431" spans="1:12" x14ac:dyDescent="0.3">
      <c r="A1431" s="194"/>
      <c r="B1431" s="194"/>
      <c r="C1431" s="194"/>
      <c r="D1431" s="194"/>
      <c r="E1431" s="194"/>
      <c r="F1431" s="194"/>
      <c r="G1431" s="194"/>
      <c r="H1431" s="194"/>
      <c r="I1431" s="194"/>
      <c r="J1431" s="194"/>
      <c r="K1431" s="194"/>
      <c r="L1431" s="194"/>
    </row>
    <row r="1432" spans="1:12" x14ac:dyDescent="0.3">
      <c r="A1432" s="194"/>
      <c r="B1432" s="194"/>
      <c r="C1432" s="194"/>
      <c r="D1432" s="194"/>
      <c r="E1432" s="194"/>
      <c r="F1432" s="194"/>
      <c r="G1432" s="194"/>
      <c r="H1432" s="194"/>
      <c r="I1432" s="194"/>
      <c r="J1432" s="194"/>
      <c r="K1432" s="194"/>
      <c r="L1432" s="194"/>
    </row>
    <row r="1433" spans="1:12" x14ac:dyDescent="0.3">
      <c r="A1433" s="194"/>
      <c r="B1433" s="194"/>
      <c r="C1433" s="194"/>
      <c r="D1433" s="194"/>
      <c r="E1433" s="194"/>
      <c r="F1433" s="194"/>
      <c r="G1433" s="194"/>
      <c r="H1433" s="194"/>
      <c r="I1433" s="194"/>
      <c r="J1433" s="194"/>
      <c r="K1433" s="194"/>
      <c r="L1433" s="194"/>
    </row>
    <row r="1434" spans="1:12" x14ac:dyDescent="0.3">
      <c r="A1434" s="194"/>
      <c r="B1434" s="194"/>
      <c r="C1434" s="194"/>
      <c r="D1434" s="194"/>
      <c r="E1434" s="194"/>
      <c r="F1434" s="194"/>
      <c r="G1434" s="194"/>
      <c r="H1434" s="194"/>
      <c r="I1434" s="194"/>
      <c r="J1434" s="194"/>
      <c r="K1434" s="194"/>
      <c r="L1434" s="194"/>
    </row>
    <row r="1435" spans="1:12" x14ac:dyDescent="0.3">
      <c r="A1435" s="194"/>
      <c r="B1435" s="194"/>
      <c r="C1435" s="194"/>
      <c r="D1435" s="194"/>
      <c r="E1435" s="194"/>
      <c r="F1435" s="194"/>
      <c r="G1435" s="194"/>
      <c r="H1435" s="194"/>
      <c r="I1435" s="194"/>
      <c r="J1435" s="194"/>
      <c r="K1435" s="194"/>
      <c r="L1435" s="194"/>
    </row>
    <row r="1436" spans="1:12" x14ac:dyDescent="0.3">
      <c r="A1436" s="194"/>
      <c r="B1436" s="194"/>
      <c r="C1436" s="194"/>
      <c r="D1436" s="194"/>
      <c r="E1436" s="194"/>
      <c r="F1436" s="194"/>
      <c r="G1436" s="194"/>
      <c r="H1436" s="194"/>
      <c r="I1436" s="194"/>
      <c r="J1436" s="194"/>
      <c r="K1436" s="194"/>
      <c r="L1436" s="194"/>
    </row>
    <row r="1437" spans="1:12" x14ac:dyDescent="0.3">
      <c r="A1437" s="194"/>
      <c r="B1437" s="194"/>
      <c r="C1437" s="194"/>
      <c r="D1437" s="194"/>
      <c r="E1437" s="194"/>
      <c r="F1437" s="194"/>
      <c r="G1437" s="194"/>
      <c r="H1437" s="194"/>
      <c r="I1437" s="194"/>
      <c r="J1437" s="194"/>
      <c r="K1437" s="194"/>
      <c r="L1437" s="194"/>
    </row>
    <row r="1438" spans="1:12" x14ac:dyDescent="0.3">
      <c r="A1438" s="194"/>
      <c r="B1438" s="194"/>
      <c r="C1438" s="194"/>
      <c r="D1438" s="194"/>
      <c r="E1438" s="194"/>
      <c r="F1438" s="194"/>
      <c r="G1438" s="194"/>
      <c r="H1438" s="194"/>
      <c r="I1438" s="194"/>
      <c r="J1438" s="194"/>
      <c r="K1438" s="194"/>
      <c r="L1438" s="194"/>
    </row>
    <row r="1439" spans="1:12" x14ac:dyDescent="0.3">
      <c r="A1439" s="194"/>
      <c r="B1439" s="194"/>
      <c r="C1439" s="194"/>
      <c r="D1439" s="194"/>
      <c r="E1439" s="194"/>
      <c r="F1439" s="194"/>
      <c r="G1439" s="194"/>
      <c r="H1439" s="194"/>
      <c r="I1439" s="194"/>
      <c r="J1439" s="194"/>
      <c r="K1439" s="194"/>
      <c r="L1439" s="194"/>
    </row>
    <row r="1440" spans="1:12" x14ac:dyDescent="0.3">
      <c r="A1440" s="194"/>
      <c r="B1440" s="194"/>
      <c r="C1440" s="194"/>
      <c r="D1440" s="194"/>
      <c r="E1440" s="194"/>
      <c r="F1440" s="194"/>
      <c r="G1440" s="194"/>
      <c r="H1440" s="194"/>
      <c r="I1440" s="194"/>
      <c r="J1440" s="194"/>
      <c r="K1440" s="194"/>
      <c r="L1440" s="194"/>
    </row>
    <row r="1441" spans="1:12" x14ac:dyDescent="0.3">
      <c r="A1441" s="194"/>
      <c r="B1441" s="194"/>
      <c r="C1441" s="194"/>
      <c r="D1441" s="194"/>
      <c r="E1441" s="194"/>
      <c r="F1441" s="194"/>
      <c r="G1441" s="194"/>
      <c r="H1441" s="194"/>
      <c r="I1441" s="194"/>
      <c r="J1441" s="194"/>
      <c r="K1441" s="194"/>
      <c r="L1441" s="194"/>
    </row>
    <row r="1442" spans="1:12" x14ac:dyDescent="0.3">
      <c r="A1442" s="194"/>
      <c r="B1442" s="194"/>
      <c r="C1442" s="194"/>
      <c r="D1442" s="194"/>
      <c r="E1442" s="194"/>
      <c r="F1442" s="194"/>
      <c r="G1442" s="194"/>
      <c r="H1442" s="194"/>
      <c r="I1442" s="194"/>
      <c r="J1442" s="194"/>
      <c r="K1442" s="194"/>
      <c r="L1442" s="194"/>
    </row>
    <row r="1443" spans="1:12" x14ac:dyDescent="0.3">
      <c r="A1443" s="194"/>
      <c r="B1443" s="194"/>
      <c r="C1443" s="194"/>
      <c r="D1443" s="194"/>
      <c r="E1443" s="194"/>
      <c r="F1443" s="194"/>
      <c r="G1443" s="194"/>
      <c r="H1443" s="194"/>
      <c r="I1443" s="194"/>
      <c r="J1443" s="194"/>
      <c r="K1443" s="194"/>
      <c r="L1443" s="194"/>
    </row>
    <row r="1444" spans="1:12" x14ac:dyDescent="0.3">
      <c r="A1444" s="194"/>
      <c r="B1444" s="194"/>
      <c r="C1444" s="194"/>
      <c r="D1444" s="194"/>
      <c r="E1444" s="194"/>
      <c r="F1444" s="194"/>
      <c r="G1444" s="194"/>
      <c r="H1444" s="194"/>
      <c r="I1444" s="194"/>
      <c r="J1444" s="194"/>
      <c r="K1444" s="194"/>
      <c r="L1444" s="194"/>
    </row>
    <row r="1445" spans="1:12" x14ac:dyDescent="0.3">
      <c r="A1445" s="194"/>
      <c r="B1445" s="194"/>
      <c r="C1445" s="194"/>
      <c r="D1445" s="194"/>
      <c r="E1445" s="194"/>
      <c r="F1445" s="194"/>
      <c r="G1445" s="194"/>
      <c r="H1445" s="194"/>
      <c r="I1445" s="194"/>
      <c r="J1445" s="194"/>
      <c r="K1445" s="194"/>
      <c r="L1445" s="194"/>
    </row>
    <row r="1446" spans="1:12" x14ac:dyDescent="0.3">
      <c r="A1446" s="194"/>
      <c r="B1446" s="194"/>
      <c r="C1446" s="194"/>
      <c r="D1446" s="194"/>
      <c r="E1446" s="194"/>
      <c r="F1446" s="194"/>
      <c r="G1446" s="194"/>
      <c r="H1446" s="194"/>
      <c r="I1446" s="194"/>
      <c r="J1446" s="194"/>
      <c r="K1446" s="194"/>
      <c r="L1446" s="194"/>
    </row>
    <row r="1447" spans="1:12" x14ac:dyDescent="0.3">
      <c r="A1447" s="194"/>
      <c r="B1447" s="194"/>
      <c r="C1447" s="194"/>
      <c r="D1447" s="194"/>
      <c r="E1447" s="194"/>
      <c r="F1447" s="194"/>
      <c r="G1447" s="194"/>
      <c r="H1447" s="194"/>
      <c r="I1447" s="194"/>
      <c r="J1447" s="194"/>
      <c r="K1447" s="194"/>
      <c r="L1447" s="194"/>
    </row>
    <row r="1448" spans="1:12" x14ac:dyDescent="0.3">
      <c r="A1448" s="194"/>
      <c r="B1448" s="194"/>
      <c r="C1448" s="194"/>
      <c r="D1448" s="194"/>
      <c r="E1448" s="194"/>
      <c r="F1448" s="194"/>
      <c r="G1448" s="194"/>
      <c r="H1448" s="194"/>
      <c r="I1448" s="194"/>
      <c r="J1448" s="194"/>
      <c r="K1448" s="194"/>
      <c r="L1448" s="194"/>
    </row>
    <row r="1449" spans="1:12" x14ac:dyDescent="0.3">
      <c r="A1449" s="194"/>
      <c r="B1449" s="194"/>
      <c r="C1449" s="194"/>
      <c r="D1449" s="194"/>
      <c r="E1449" s="194"/>
      <c r="F1449" s="194"/>
      <c r="G1449" s="194"/>
      <c r="H1449" s="194"/>
      <c r="I1449" s="194"/>
      <c r="J1449" s="194"/>
      <c r="K1449" s="194"/>
      <c r="L1449" s="194"/>
    </row>
    <row r="1450" spans="1:12" x14ac:dyDescent="0.3">
      <c r="A1450" s="194"/>
      <c r="B1450" s="194"/>
      <c r="C1450" s="194"/>
      <c r="D1450" s="194"/>
      <c r="E1450" s="194"/>
      <c r="F1450" s="194"/>
      <c r="G1450" s="194"/>
      <c r="H1450" s="194"/>
      <c r="I1450" s="194"/>
      <c r="J1450" s="194"/>
      <c r="K1450" s="194"/>
      <c r="L1450" s="194"/>
    </row>
    <row r="1451" spans="1:12" x14ac:dyDescent="0.3">
      <c r="A1451" s="194"/>
      <c r="B1451" s="194"/>
      <c r="C1451" s="194"/>
      <c r="D1451" s="194"/>
      <c r="E1451" s="194"/>
      <c r="F1451" s="194"/>
      <c r="G1451" s="194"/>
      <c r="H1451" s="194"/>
      <c r="I1451" s="194"/>
      <c r="J1451" s="194"/>
      <c r="K1451" s="194"/>
      <c r="L1451" s="194"/>
    </row>
    <row r="1452" spans="1:12" x14ac:dyDescent="0.3">
      <c r="A1452" s="194"/>
      <c r="B1452" s="194"/>
      <c r="C1452" s="194"/>
      <c r="D1452" s="194"/>
      <c r="E1452" s="194"/>
      <c r="F1452" s="194"/>
      <c r="G1452" s="194"/>
      <c r="H1452" s="194"/>
      <c r="I1452" s="194"/>
      <c r="J1452" s="194"/>
      <c r="K1452" s="194"/>
      <c r="L1452" s="194"/>
    </row>
    <row r="1453" spans="1:12" x14ac:dyDescent="0.3">
      <c r="A1453" s="194"/>
      <c r="B1453" s="194"/>
      <c r="C1453" s="194"/>
      <c r="D1453" s="194"/>
      <c r="E1453" s="194"/>
      <c r="F1453" s="194"/>
      <c r="G1453" s="194"/>
      <c r="H1453" s="194"/>
      <c r="I1453" s="194"/>
      <c r="J1453" s="194"/>
      <c r="K1453" s="194"/>
      <c r="L1453" s="194"/>
    </row>
    <row r="1454" spans="1:12" x14ac:dyDescent="0.3">
      <c r="A1454" s="194"/>
      <c r="B1454" s="194"/>
      <c r="C1454" s="194"/>
      <c r="D1454" s="194"/>
      <c r="E1454" s="194"/>
      <c r="F1454" s="194"/>
      <c r="G1454" s="194"/>
      <c r="H1454" s="194"/>
      <c r="I1454" s="194"/>
      <c r="J1454" s="194"/>
      <c r="K1454" s="194"/>
      <c r="L1454" s="194"/>
    </row>
    <row r="1455" spans="1:12" x14ac:dyDescent="0.3">
      <c r="A1455" s="194"/>
      <c r="B1455" s="194"/>
      <c r="C1455" s="194"/>
      <c r="D1455" s="194"/>
      <c r="E1455" s="194"/>
      <c r="F1455" s="194"/>
      <c r="G1455" s="194"/>
      <c r="H1455" s="194"/>
      <c r="I1455" s="194"/>
      <c r="J1455" s="194"/>
      <c r="K1455" s="194"/>
      <c r="L1455" s="194"/>
    </row>
    <row r="1456" spans="1:12" x14ac:dyDescent="0.3">
      <c r="A1456" s="194"/>
      <c r="B1456" s="194"/>
      <c r="C1456" s="194"/>
      <c r="D1456" s="194"/>
      <c r="E1456" s="194"/>
      <c r="F1456" s="194"/>
      <c r="G1456" s="194"/>
      <c r="H1456" s="194"/>
      <c r="I1456" s="194"/>
      <c r="J1456" s="194"/>
      <c r="K1456" s="194"/>
      <c r="L1456" s="194"/>
    </row>
    <row r="1457" spans="1:12" x14ac:dyDescent="0.3">
      <c r="A1457" s="194"/>
      <c r="B1457" s="194"/>
      <c r="C1457" s="194"/>
      <c r="D1457" s="194"/>
      <c r="E1457" s="194"/>
      <c r="F1457" s="194"/>
      <c r="G1457" s="194"/>
      <c r="H1457" s="194"/>
      <c r="I1457" s="194"/>
      <c r="J1457" s="194"/>
      <c r="K1457" s="194"/>
      <c r="L1457" s="194"/>
    </row>
    <row r="1458" spans="1:12" x14ac:dyDescent="0.3">
      <c r="A1458" s="194"/>
      <c r="B1458" s="194"/>
      <c r="C1458" s="194"/>
      <c r="D1458" s="194"/>
      <c r="E1458" s="194"/>
      <c r="F1458" s="194"/>
      <c r="G1458" s="194"/>
      <c r="H1458" s="194"/>
      <c r="I1458" s="194"/>
      <c r="J1458" s="194"/>
      <c r="K1458" s="194"/>
      <c r="L1458" s="194"/>
    </row>
    <row r="1459" spans="1:12" x14ac:dyDescent="0.3">
      <c r="A1459" s="194"/>
      <c r="B1459" s="194"/>
      <c r="C1459" s="194"/>
      <c r="D1459" s="194"/>
      <c r="E1459" s="194"/>
      <c r="F1459" s="194"/>
      <c r="G1459" s="194"/>
      <c r="H1459" s="194"/>
      <c r="I1459" s="194"/>
      <c r="J1459" s="194"/>
      <c r="K1459" s="194"/>
      <c r="L1459" s="194"/>
    </row>
    <row r="1460" spans="1:12" x14ac:dyDescent="0.3">
      <c r="A1460" s="194"/>
      <c r="B1460" s="194"/>
      <c r="C1460" s="194"/>
      <c r="D1460" s="194"/>
      <c r="E1460" s="194"/>
      <c r="F1460" s="194"/>
      <c r="G1460" s="194"/>
      <c r="H1460" s="194"/>
      <c r="I1460" s="194"/>
      <c r="J1460" s="194"/>
      <c r="K1460" s="194"/>
      <c r="L1460" s="194"/>
    </row>
    <row r="1461" spans="1:12" x14ac:dyDescent="0.3">
      <c r="A1461" s="194"/>
      <c r="B1461" s="194"/>
      <c r="C1461" s="194"/>
      <c r="D1461" s="194"/>
      <c r="E1461" s="194"/>
      <c r="F1461" s="194"/>
      <c r="G1461" s="194"/>
      <c r="H1461" s="194"/>
      <c r="I1461" s="194"/>
      <c r="J1461" s="194"/>
      <c r="K1461" s="194"/>
      <c r="L1461" s="194"/>
    </row>
    <row r="1462" spans="1:12" x14ac:dyDescent="0.3">
      <c r="A1462" s="194"/>
      <c r="B1462" s="194"/>
      <c r="C1462" s="194"/>
      <c r="D1462" s="194"/>
      <c r="E1462" s="194"/>
      <c r="F1462" s="194"/>
      <c r="G1462" s="194"/>
      <c r="H1462" s="194"/>
      <c r="I1462" s="194"/>
      <c r="J1462" s="194"/>
      <c r="K1462" s="194"/>
      <c r="L1462" s="194"/>
    </row>
    <row r="1463" spans="1:12" x14ac:dyDescent="0.3">
      <c r="A1463" s="194"/>
      <c r="B1463" s="194"/>
      <c r="C1463" s="194"/>
      <c r="D1463" s="194"/>
      <c r="E1463" s="194"/>
      <c r="F1463" s="194"/>
      <c r="G1463" s="194"/>
      <c r="H1463" s="194"/>
      <c r="I1463" s="194"/>
      <c r="J1463" s="194"/>
      <c r="K1463" s="194"/>
      <c r="L1463" s="194"/>
    </row>
    <row r="1464" spans="1:12" x14ac:dyDescent="0.3">
      <c r="A1464" s="194"/>
      <c r="B1464" s="194"/>
      <c r="C1464" s="194"/>
      <c r="D1464" s="194"/>
      <c r="E1464" s="194"/>
      <c r="F1464" s="194"/>
      <c r="G1464" s="194"/>
      <c r="H1464" s="194"/>
      <c r="I1464" s="194"/>
      <c r="J1464" s="194"/>
      <c r="K1464" s="194"/>
      <c r="L1464" s="194"/>
    </row>
    <row r="1465" spans="1:12" x14ac:dyDescent="0.3">
      <c r="A1465" s="194"/>
      <c r="B1465" s="194"/>
      <c r="C1465" s="194"/>
      <c r="D1465" s="194"/>
      <c r="E1465" s="194"/>
      <c r="F1465" s="194"/>
      <c r="G1465" s="194"/>
      <c r="H1465" s="194"/>
      <c r="I1465" s="194"/>
      <c r="J1465" s="194"/>
      <c r="K1465" s="194"/>
      <c r="L1465" s="194"/>
    </row>
    <row r="1466" spans="1:12" x14ac:dyDescent="0.3">
      <c r="A1466" s="194"/>
      <c r="B1466" s="194"/>
      <c r="C1466" s="194"/>
      <c r="D1466" s="194"/>
      <c r="E1466" s="194"/>
      <c r="F1466" s="194"/>
      <c r="G1466" s="194"/>
      <c r="H1466" s="194"/>
      <c r="I1466" s="194"/>
      <c r="J1466" s="194"/>
      <c r="K1466" s="194"/>
      <c r="L1466" s="194"/>
    </row>
    <row r="1467" spans="1:12" x14ac:dyDescent="0.3">
      <c r="A1467" s="194"/>
      <c r="B1467" s="194"/>
      <c r="C1467" s="194"/>
      <c r="D1467" s="194"/>
      <c r="E1467" s="194"/>
      <c r="F1467" s="194"/>
      <c r="G1467" s="194"/>
      <c r="H1467" s="194"/>
      <c r="I1467" s="194"/>
      <c r="J1467" s="194"/>
      <c r="K1467" s="194"/>
      <c r="L1467" s="194"/>
    </row>
    <row r="1468" spans="1:12" x14ac:dyDescent="0.3">
      <c r="A1468" s="194"/>
      <c r="B1468" s="194"/>
      <c r="C1468" s="194"/>
      <c r="D1468" s="194"/>
      <c r="E1468" s="194"/>
      <c r="F1468" s="194"/>
      <c r="G1468" s="194"/>
      <c r="H1468" s="194"/>
      <c r="I1468" s="194"/>
      <c r="J1468" s="194"/>
      <c r="K1468" s="194"/>
      <c r="L1468" s="194"/>
    </row>
    <row r="1469" spans="1:12" x14ac:dyDescent="0.3">
      <c r="A1469" s="194"/>
      <c r="B1469" s="194"/>
      <c r="C1469" s="194"/>
      <c r="D1469" s="194"/>
      <c r="E1469" s="194"/>
      <c r="F1469" s="194"/>
      <c r="G1469" s="194"/>
      <c r="H1469" s="194"/>
      <c r="I1469" s="194"/>
      <c r="J1469" s="194"/>
      <c r="K1469" s="194"/>
      <c r="L1469" s="194"/>
    </row>
    <row r="1470" spans="1:12" x14ac:dyDescent="0.3">
      <c r="A1470" s="194"/>
      <c r="B1470" s="194"/>
      <c r="C1470" s="194"/>
      <c r="D1470" s="194"/>
      <c r="E1470" s="194"/>
      <c r="F1470" s="194"/>
      <c r="G1470" s="194"/>
      <c r="H1470" s="194"/>
      <c r="I1470" s="194"/>
      <c r="J1470" s="194"/>
      <c r="K1470" s="194"/>
      <c r="L1470" s="194"/>
    </row>
    <row r="1471" spans="1:12" x14ac:dyDescent="0.3">
      <c r="A1471" s="194"/>
      <c r="B1471" s="194"/>
      <c r="C1471" s="194"/>
      <c r="D1471" s="194"/>
      <c r="E1471" s="194"/>
      <c r="F1471" s="194"/>
      <c r="G1471" s="194"/>
      <c r="H1471" s="194"/>
      <c r="I1471" s="194"/>
      <c r="J1471" s="194"/>
      <c r="K1471" s="194"/>
      <c r="L1471" s="194"/>
    </row>
    <row r="1472" spans="1:12" x14ac:dyDescent="0.3">
      <c r="A1472" s="194"/>
      <c r="B1472" s="194"/>
      <c r="C1472" s="194"/>
      <c r="D1472" s="194"/>
      <c r="E1472" s="194"/>
      <c r="F1472" s="194"/>
      <c r="G1472" s="194"/>
      <c r="H1472" s="194"/>
      <c r="I1472" s="194"/>
      <c r="J1472" s="194"/>
      <c r="K1472" s="194"/>
      <c r="L1472" s="194"/>
    </row>
    <row r="1473" spans="1:12" x14ac:dyDescent="0.3">
      <c r="A1473" s="194"/>
      <c r="B1473" s="194"/>
      <c r="C1473" s="194"/>
      <c r="D1473" s="194"/>
      <c r="E1473" s="194"/>
      <c r="F1473" s="194"/>
      <c r="G1473" s="194"/>
      <c r="H1473" s="194"/>
      <c r="I1473" s="194"/>
      <c r="J1473" s="194"/>
      <c r="K1473" s="194"/>
      <c r="L1473" s="194"/>
    </row>
    <row r="1474" spans="1:12" x14ac:dyDescent="0.3">
      <c r="A1474" s="194"/>
      <c r="B1474" s="194"/>
      <c r="C1474" s="194"/>
      <c r="D1474" s="194"/>
      <c r="E1474" s="194"/>
      <c r="F1474" s="194"/>
      <c r="G1474" s="194"/>
      <c r="H1474" s="194"/>
      <c r="I1474" s="194"/>
      <c r="J1474" s="194"/>
      <c r="K1474" s="194"/>
      <c r="L1474" s="194"/>
    </row>
    <row r="1475" spans="1:12" x14ac:dyDescent="0.3">
      <c r="A1475" s="194"/>
      <c r="B1475" s="194"/>
      <c r="C1475" s="194"/>
      <c r="D1475" s="194"/>
      <c r="E1475" s="194"/>
      <c r="F1475" s="194"/>
      <c r="G1475" s="194"/>
      <c r="H1475" s="194"/>
      <c r="I1475" s="194"/>
      <c r="J1475" s="194"/>
      <c r="K1475" s="194"/>
      <c r="L1475" s="194"/>
    </row>
    <row r="1476" spans="1:12" x14ac:dyDescent="0.3">
      <c r="A1476" s="194"/>
      <c r="B1476" s="194"/>
      <c r="C1476" s="194"/>
      <c r="D1476" s="194"/>
      <c r="E1476" s="194"/>
      <c r="F1476" s="194"/>
      <c r="G1476" s="194"/>
      <c r="H1476" s="194"/>
      <c r="I1476" s="194"/>
      <c r="J1476" s="194"/>
      <c r="K1476" s="194"/>
      <c r="L1476" s="194"/>
    </row>
    <row r="1477" spans="1:12" x14ac:dyDescent="0.3">
      <c r="A1477" s="194"/>
      <c r="B1477" s="194"/>
      <c r="C1477" s="194"/>
      <c r="D1477" s="194"/>
      <c r="E1477" s="194"/>
      <c r="F1477" s="194"/>
      <c r="G1477" s="194"/>
      <c r="H1477" s="194"/>
      <c r="I1477" s="194"/>
      <c r="J1477" s="194"/>
      <c r="K1477" s="194"/>
      <c r="L1477" s="194"/>
    </row>
    <row r="1478" spans="1:12" x14ac:dyDescent="0.3">
      <c r="A1478" s="194"/>
      <c r="B1478" s="194"/>
      <c r="C1478" s="194"/>
      <c r="D1478" s="194"/>
      <c r="E1478" s="194"/>
      <c r="F1478" s="194"/>
      <c r="G1478" s="194"/>
      <c r="H1478" s="194"/>
      <c r="I1478" s="194"/>
      <c r="J1478" s="194"/>
      <c r="K1478" s="194"/>
      <c r="L1478" s="194"/>
    </row>
    <row r="1479" spans="1:12" x14ac:dyDescent="0.3">
      <c r="A1479" s="194"/>
      <c r="B1479" s="194"/>
      <c r="C1479" s="194"/>
      <c r="D1479" s="194"/>
      <c r="E1479" s="194"/>
      <c r="F1479" s="194"/>
      <c r="G1479" s="194"/>
      <c r="H1479" s="194"/>
      <c r="I1479" s="194"/>
      <c r="J1479" s="194"/>
      <c r="K1479" s="194"/>
      <c r="L1479" s="194"/>
    </row>
    <row r="1480" spans="1:12" x14ac:dyDescent="0.3">
      <c r="A1480" s="194"/>
      <c r="B1480" s="194"/>
      <c r="C1480" s="194"/>
      <c r="D1480" s="194"/>
      <c r="E1480" s="194"/>
      <c r="F1480" s="194"/>
      <c r="G1480" s="194"/>
      <c r="H1480" s="194"/>
      <c r="I1480" s="194"/>
      <c r="J1480" s="194"/>
      <c r="K1480" s="194"/>
      <c r="L1480" s="194"/>
    </row>
    <row r="1481" spans="1:12" x14ac:dyDescent="0.3">
      <c r="A1481" s="194"/>
      <c r="B1481" s="194"/>
      <c r="C1481" s="194"/>
      <c r="D1481" s="194"/>
      <c r="E1481" s="194"/>
      <c r="F1481" s="194"/>
      <c r="G1481" s="194"/>
      <c r="H1481" s="194"/>
      <c r="I1481" s="194"/>
      <c r="J1481" s="194"/>
      <c r="K1481" s="194"/>
      <c r="L1481" s="194"/>
    </row>
    <row r="1482" spans="1:12" x14ac:dyDescent="0.3">
      <c r="A1482" s="194"/>
      <c r="B1482" s="194"/>
      <c r="C1482" s="194"/>
      <c r="D1482" s="194"/>
      <c r="E1482" s="194"/>
      <c r="F1482" s="194"/>
      <c r="G1482" s="194"/>
      <c r="H1482" s="194"/>
      <c r="I1482" s="194"/>
      <c r="J1482" s="194"/>
      <c r="K1482" s="194"/>
      <c r="L1482" s="194"/>
    </row>
    <row r="1483" spans="1:12" x14ac:dyDescent="0.3">
      <c r="A1483" s="194"/>
      <c r="B1483" s="194"/>
      <c r="C1483" s="194"/>
      <c r="D1483" s="194"/>
      <c r="E1483" s="194"/>
      <c r="F1483" s="194"/>
      <c r="G1483" s="194"/>
      <c r="H1483" s="194"/>
      <c r="I1483" s="194"/>
      <c r="J1483" s="194"/>
      <c r="K1483" s="194"/>
      <c r="L1483" s="194"/>
    </row>
    <row r="1484" spans="1:12" x14ac:dyDescent="0.3">
      <c r="A1484" s="194"/>
      <c r="B1484" s="194"/>
      <c r="C1484" s="194"/>
      <c r="D1484" s="194"/>
      <c r="E1484" s="194"/>
      <c r="F1484" s="194"/>
      <c r="G1484" s="194"/>
      <c r="H1484" s="194"/>
      <c r="I1484" s="194"/>
      <c r="J1484" s="194"/>
      <c r="K1484" s="194"/>
      <c r="L1484" s="194"/>
    </row>
    <row r="1485" spans="1:12" x14ac:dyDescent="0.3">
      <c r="A1485" s="194"/>
      <c r="B1485" s="194"/>
      <c r="C1485" s="194"/>
      <c r="D1485" s="194"/>
      <c r="E1485" s="194"/>
      <c r="F1485" s="194"/>
      <c r="G1485" s="194"/>
      <c r="H1485" s="194"/>
      <c r="I1485" s="194"/>
      <c r="J1485" s="194"/>
      <c r="K1485" s="194"/>
      <c r="L1485" s="194"/>
    </row>
    <row r="1486" spans="1:12" x14ac:dyDescent="0.3">
      <c r="A1486" s="194"/>
      <c r="B1486" s="194"/>
      <c r="C1486" s="194"/>
      <c r="D1486" s="194"/>
      <c r="E1486" s="194"/>
      <c r="F1486" s="194"/>
      <c r="G1486" s="194"/>
      <c r="H1486" s="194"/>
      <c r="I1486" s="194"/>
      <c r="J1486" s="194"/>
      <c r="K1486" s="194"/>
      <c r="L1486" s="194"/>
    </row>
    <row r="1487" spans="1:12" x14ac:dyDescent="0.3">
      <c r="A1487" s="194"/>
      <c r="B1487" s="194"/>
      <c r="C1487" s="194"/>
      <c r="D1487" s="194"/>
      <c r="E1487" s="194"/>
      <c r="F1487" s="194"/>
      <c r="G1487" s="194"/>
      <c r="H1487" s="194"/>
      <c r="I1487" s="194"/>
      <c r="J1487" s="194"/>
      <c r="K1487" s="194"/>
      <c r="L1487" s="194"/>
    </row>
    <row r="1488" spans="1:12" x14ac:dyDescent="0.3">
      <c r="A1488" s="194"/>
      <c r="B1488" s="194"/>
      <c r="C1488" s="194"/>
      <c r="D1488" s="194"/>
      <c r="E1488" s="194"/>
      <c r="F1488" s="194"/>
      <c r="G1488" s="194"/>
      <c r="H1488" s="194"/>
      <c r="I1488" s="194"/>
      <c r="J1488" s="194"/>
      <c r="K1488" s="194"/>
      <c r="L1488" s="194"/>
    </row>
    <row r="1489" spans="1:12" x14ac:dyDescent="0.3">
      <c r="A1489" s="194"/>
      <c r="B1489" s="194"/>
      <c r="C1489" s="194"/>
      <c r="D1489" s="194"/>
      <c r="E1489" s="194"/>
      <c r="F1489" s="194"/>
      <c r="G1489" s="194"/>
      <c r="H1489" s="194"/>
      <c r="I1489" s="194"/>
      <c r="J1489" s="194"/>
      <c r="K1489" s="194"/>
      <c r="L1489" s="194"/>
    </row>
    <row r="1490" spans="1:12" x14ac:dyDescent="0.3">
      <c r="A1490" s="194"/>
      <c r="B1490" s="194"/>
      <c r="C1490" s="194"/>
      <c r="D1490" s="194"/>
      <c r="E1490" s="194"/>
      <c r="F1490" s="194"/>
      <c r="G1490" s="194"/>
      <c r="H1490" s="194"/>
      <c r="I1490" s="194"/>
      <c r="J1490" s="194"/>
      <c r="K1490" s="194"/>
      <c r="L1490" s="194"/>
    </row>
    <row r="1491" spans="1:12" x14ac:dyDescent="0.3">
      <c r="A1491" s="194"/>
      <c r="B1491" s="194"/>
      <c r="C1491" s="194"/>
      <c r="D1491" s="194"/>
      <c r="E1491" s="194"/>
      <c r="F1491" s="194"/>
      <c r="G1491" s="194"/>
      <c r="H1491" s="194"/>
      <c r="I1491" s="194"/>
      <c r="J1491" s="194"/>
      <c r="K1491" s="194"/>
      <c r="L1491" s="194"/>
    </row>
    <row r="1492" spans="1:12" x14ac:dyDescent="0.3">
      <c r="A1492" s="194"/>
      <c r="B1492" s="194"/>
      <c r="C1492" s="194"/>
      <c r="D1492" s="194"/>
      <c r="E1492" s="194"/>
      <c r="F1492" s="194"/>
      <c r="G1492" s="194"/>
      <c r="H1492" s="194"/>
      <c r="I1492" s="194"/>
      <c r="J1492" s="194"/>
      <c r="K1492" s="194"/>
      <c r="L1492" s="194"/>
    </row>
    <row r="1493" spans="1:12" x14ac:dyDescent="0.3">
      <c r="A1493" s="194"/>
      <c r="B1493" s="194"/>
      <c r="C1493" s="194"/>
      <c r="D1493" s="194"/>
      <c r="E1493" s="194"/>
      <c r="F1493" s="194"/>
      <c r="G1493" s="194"/>
      <c r="H1493" s="194"/>
      <c r="I1493" s="194"/>
      <c r="J1493" s="194"/>
      <c r="K1493" s="194"/>
      <c r="L1493" s="194"/>
    </row>
    <row r="1494" spans="1:12" x14ac:dyDescent="0.3">
      <c r="A1494" s="194"/>
      <c r="B1494" s="194"/>
      <c r="C1494" s="194"/>
      <c r="D1494" s="194"/>
      <c r="E1494" s="194"/>
      <c r="F1494" s="194"/>
      <c r="G1494" s="194"/>
      <c r="H1494" s="194"/>
      <c r="I1494" s="194"/>
      <c r="J1494" s="194"/>
      <c r="K1494" s="194"/>
      <c r="L1494" s="194"/>
    </row>
    <row r="1495" spans="1:12" x14ac:dyDescent="0.3">
      <c r="A1495" s="194"/>
      <c r="B1495" s="194"/>
      <c r="C1495" s="194"/>
      <c r="D1495" s="194"/>
      <c r="E1495" s="194"/>
      <c r="F1495" s="194"/>
      <c r="G1495" s="194"/>
      <c r="H1495" s="194"/>
      <c r="I1495" s="194"/>
      <c r="J1495" s="194"/>
      <c r="K1495" s="194"/>
      <c r="L1495" s="194"/>
    </row>
    <row r="1496" spans="1:12" x14ac:dyDescent="0.3">
      <c r="A1496" s="194"/>
      <c r="B1496" s="194"/>
      <c r="C1496" s="194"/>
      <c r="D1496" s="194"/>
      <c r="E1496" s="194"/>
      <c r="F1496" s="194"/>
      <c r="G1496" s="194"/>
      <c r="H1496" s="194"/>
      <c r="I1496" s="194"/>
      <c r="J1496" s="194"/>
      <c r="K1496" s="194"/>
      <c r="L1496" s="194"/>
    </row>
    <row r="1497" spans="1:12" x14ac:dyDescent="0.3">
      <c r="A1497" s="194"/>
      <c r="B1497" s="194"/>
      <c r="C1497" s="194"/>
      <c r="D1497" s="194"/>
      <c r="E1497" s="194"/>
      <c r="F1497" s="194"/>
      <c r="G1497" s="194"/>
      <c r="H1497" s="194"/>
      <c r="I1497" s="194"/>
      <c r="J1497" s="194"/>
      <c r="K1497" s="194"/>
      <c r="L1497" s="194"/>
    </row>
    <row r="1498" spans="1:12" x14ac:dyDescent="0.3">
      <c r="A1498" s="194"/>
      <c r="B1498" s="194"/>
      <c r="C1498" s="194"/>
      <c r="D1498" s="194"/>
      <c r="E1498" s="194"/>
      <c r="F1498" s="194"/>
      <c r="G1498" s="194"/>
      <c r="H1498" s="194"/>
      <c r="I1498" s="194"/>
      <c r="J1498" s="194"/>
      <c r="K1498" s="194"/>
      <c r="L1498" s="194"/>
    </row>
    <row r="1499" spans="1:12" x14ac:dyDescent="0.3">
      <c r="A1499" s="194"/>
      <c r="B1499" s="194"/>
      <c r="C1499" s="194"/>
      <c r="D1499" s="194"/>
      <c r="E1499" s="194"/>
      <c r="F1499" s="194"/>
      <c r="G1499" s="194"/>
      <c r="H1499" s="194"/>
      <c r="I1499" s="194"/>
      <c r="J1499" s="194"/>
      <c r="K1499" s="194"/>
      <c r="L1499" s="194"/>
    </row>
    <row r="1500" spans="1:12" x14ac:dyDescent="0.3">
      <c r="A1500" s="194"/>
      <c r="B1500" s="194"/>
      <c r="C1500" s="194"/>
      <c r="D1500" s="194"/>
      <c r="E1500" s="194"/>
      <c r="F1500" s="194"/>
      <c r="G1500" s="194"/>
      <c r="H1500" s="194"/>
      <c r="I1500" s="194"/>
      <c r="J1500" s="194"/>
      <c r="K1500" s="194"/>
      <c r="L1500" s="194"/>
    </row>
    <row r="1501" spans="1:12" x14ac:dyDescent="0.3">
      <c r="A1501" s="194"/>
      <c r="B1501" s="194"/>
      <c r="C1501" s="194"/>
      <c r="D1501" s="194"/>
      <c r="E1501" s="194"/>
      <c r="F1501" s="194"/>
      <c r="G1501" s="194"/>
      <c r="H1501" s="194"/>
      <c r="I1501" s="194"/>
      <c r="J1501" s="194"/>
      <c r="K1501" s="194"/>
      <c r="L1501" s="194"/>
    </row>
    <row r="1502" spans="1:12" x14ac:dyDescent="0.3">
      <c r="A1502" s="194"/>
      <c r="B1502" s="194"/>
      <c r="C1502" s="194"/>
      <c r="D1502" s="194"/>
      <c r="E1502" s="194"/>
      <c r="F1502" s="194"/>
      <c r="G1502" s="194"/>
      <c r="H1502" s="194"/>
      <c r="I1502" s="194"/>
      <c r="J1502" s="194"/>
      <c r="K1502" s="194"/>
      <c r="L1502" s="194"/>
    </row>
    <row r="1503" spans="1:12" x14ac:dyDescent="0.3">
      <c r="A1503" s="194"/>
      <c r="B1503" s="194"/>
      <c r="C1503" s="194"/>
      <c r="D1503" s="194"/>
      <c r="E1503" s="194"/>
      <c r="F1503" s="194"/>
      <c r="G1503" s="194"/>
      <c r="H1503" s="194"/>
      <c r="I1503" s="194"/>
      <c r="J1503" s="194"/>
      <c r="K1503" s="194"/>
      <c r="L1503" s="194"/>
    </row>
    <row r="1504" spans="1:12" x14ac:dyDescent="0.3">
      <c r="A1504" s="194"/>
      <c r="B1504" s="194"/>
      <c r="C1504" s="194"/>
      <c r="D1504" s="194"/>
      <c r="E1504" s="194"/>
      <c r="F1504" s="194"/>
      <c r="G1504" s="194"/>
      <c r="H1504" s="194"/>
      <c r="I1504" s="194"/>
      <c r="J1504" s="194"/>
      <c r="K1504" s="194"/>
      <c r="L1504" s="194"/>
    </row>
    <row r="1505" spans="1:12" x14ac:dyDescent="0.3">
      <c r="A1505" s="194"/>
      <c r="B1505" s="194"/>
      <c r="C1505" s="194"/>
      <c r="D1505" s="194"/>
      <c r="E1505" s="194"/>
      <c r="F1505" s="194"/>
      <c r="G1505" s="194"/>
      <c r="H1505" s="194"/>
      <c r="I1505" s="194"/>
      <c r="J1505" s="194"/>
      <c r="K1505" s="194"/>
      <c r="L1505" s="194"/>
    </row>
    <row r="1506" spans="1:12" x14ac:dyDescent="0.3">
      <c r="A1506" s="194"/>
      <c r="B1506" s="194"/>
      <c r="C1506" s="194"/>
      <c r="D1506" s="194"/>
      <c r="E1506" s="194"/>
      <c r="F1506" s="194"/>
      <c r="G1506" s="194"/>
      <c r="H1506" s="194"/>
      <c r="I1506" s="194"/>
      <c r="J1506" s="194"/>
      <c r="K1506" s="194"/>
      <c r="L1506" s="194"/>
    </row>
    <row r="1507" spans="1:12" x14ac:dyDescent="0.3">
      <c r="A1507" s="194"/>
      <c r="B1507" s="194"/>
      <c r="C1507" s="194"/>
      <c r="D1507" s="194"/>
      <c r="E1507" s="194"/>
      <c r="F1507" s="194"/>
      <c r="G1507" s="194"/>
      <c r="H1507" s="194"/>
      <c r="I1507" s="194"/>
      <c r="J1507" s="194"/>
      <c r="K1507" s="194"/>
      <c r="L1507" s="194"/>
    </row>
    <row r="1508" spans="1:12" x14ac:dyDescent="0.3">
      <c r="A1508" s="194"/>
      <c r="B1508" s="194"/>
      <c r="C1508" s="194"/>
      <c r="D1508" s="194"/>
      <c r="E1508" s="194"/>
      <c r="F1508" s="194"/>
      <c r="G1508" s="194"/>
      <c r="H1508" s="194"/>
      <c r="I1508" s="194"/>
      <c r="J1508" s="194"/>
      <c r="K1508" s="194"/>
      <c r="L1508" s="194"/>
    </row>
    <row r="1509" spans="1:12" x14ac:dyDescent="0.3">
      <c r="A1509" s="194"/>
      <c r="B1509" s="194"/>
      <c r="C1509" s="194"/>
      <c r="D1509" s="194"/>
      <c r="E1509" s="194"/>
      <c r="F1509" s="194"/>
      <c r="G1509" s="194"/>
      <c r="H1509" s="194"/>
      <c r="I1509" s="194"/>
      <c r="J1509" s="194"/>
      <c r="K1509" s="194"/>
      <c r="L1509" s="194"/>
    </row>
    <row r="1510" spans="1:12" x14ac:dyDescent="0.3">
      <c r="A1510" s="194"/>
      <c r="B1510" s="194"/>
      <c r="C1510" s="194"/>
      <c r="D1510" s="194"/>
      <c r="E1510" s="194"/>
      <c r="F1510" s="194"/>
      <c r="G1510" s="194"/>
      <c r="H1510" s="194"/>
      <c r="I1510" s="194"/>
      <c r="J1510" s="194"/>
      <c r="K1510" s="194"/>
      <c r="L1510" s="194"/>
    </row>
    <row r="1511" spans="1:12" x14ac:dyDescent="0.3">
      <c r="A1511" s="194"/>
      <c r="B1511" s="194"/>
      <c r="C1511" s="194"/>
      <c r="D1511" s="194"/>
      <c r="E1511" s="194"/>
      <c r="F1511" s="194"/>
      <c r="G1511" s="194"/>
      <c r="H1511" s="194"/>
      <c r="I1511" s="194"/>
      <c r="J1511" s="194"/>
      <c r="K1511" s="194"/>
      <c r="L1511" s="194"/>
    </row>
    <row r="1512" spans="1:12" x14ac:dyDescent="0.3">
      <c r="A1512" s="194"/>
      <c r="B1512" s="194"/>
      <c r="C1512" s="194"/>
      <c r="D1512" s="194"/>
      <c r="E1512" s="194"/>
      <c r="F1512" s="194"/>
      <c r="G1512" s="194"/>
      <c r="H1512" s="194"/>
      <c r="I1512" s="194"/>
      <c r="J1512" s="194"/>
      <c r="K1512" s="194"/>
      <c r="L1512" s="194"/>
    </row>
    <row r="1513" spans="1:12" x14ac:dyDescent="0.3">
      <c r="A1513" s="194"/>
      <c r="B1513" s="194"/>
      <c r="C1513" s="194"/>
      <c r="D1513" s="194"/>
      <c r="E1513" s="194"/>
      <c r="F1513" s="194"/>
      <c r="G1513" s="194"/>
      <c r="H1513" s="194"/>
      <c r="I1513" s="194"/>
      <c r="J1513" s="194"/>
      <c r="K1513" s="194"/>
      <c r="L1513" s="194"/>
    </row>
    <row r="1514" spans="1:12" x14ac:dyDescent="0.3">
      <c r="A1514" s="194"/>
      <c r="B1514" s="194"/>
      <c r="C1514" s="194"/>
      <c r="D1514" s="194"/>
      <c r="E1514" s="194"/>
      <c r="F1514" s="194"/>
      <c r="G1514" s="194"/>
      <c r="H1514" s="194"/>
      <c r="I1514" s="194"/>
      <c r="J1514" s="194"/>
      <c r="K1514" s="194"/>
      <c r="L1514" s="194"/>
    </row>
    <row r="1515" spans="1:12" x14ac:dyDescent="0.3">
      <c r="A1515" s="194"/>
      <c r="B1515" s="194"/>
      <c r="C1515" s="194"/>
      <c r="D1515" s="194"/>
      <c r="E1515" s="194"/>
      <c r="F1515" s="194"/>
      <c r="G1515" s="194"/>
      <c r="H1515" s="194"/>
      <c r="I1515" s="194"/>
      <c r="J1515" s="194"/>
      <c r="K1515" s="194"/>
      <c r="L1515" s="194"/>
    </row>
    <row r="1516" spans="1:12" x14ac:dyDescent="0.3">
      <c r="A1516" s="194"/>
      <c r="B1516" s="194"/>
      <c r="C1516" s="194"/>
      <c r="D1516" s="194"/>
      <c r="E1516" s="194"/>
      <c r="F1516" s="194"/>
      <c r="G1516" s="194"/>
      <c r="H1516" s="194"/>
      <c r="I1516" s="194"/>
      <c r="J1516" s="194"/>
      <c r="K1516" s="194"/>
      <c r="L1516" s="194"/>
    </row>
    <row r="1517" spans="1:12" x14ac:dyDescent="0.3">
      <c r="A1517" s="194"/>
      <c r="B1517" s="194"/>
      <c r="C1517" s="194"/>
      <c r="D1517" s="194"/>
      <c r="E1517" s="194"/>
      <c r="F1517" s="194"/>
      <c r="G1517" s="194"/>
      <c r="H1517" s="194"/>
      <c r="I1517" s="194"/>
      <c r="J1517" s="194"/>
      <c r="K1517" s="194"/>
      <c r="L1517" s="194"/>
    </row>
    <row r="1518" spans="1:12" x14ac:dyDescent="0.3">
      <c r="A1518" s="194"/>
      <c r="B1518" s="194"/>
      <c r="C1518" s="194"/>
      <c r="D1518" s="194"/>
      <c r="E1518" s="194"/>
      <c r="F1518" s="194"/>
      <c r="G1518" s="194"/>
      <c r="H1518" s="194"/>
      <c r="I1518" s="194"/>
      <c r="J1518" s="194"/>
      <c r="K1518" s="194"/>
      <c r="L1518" s="194"/>
    </row>
    <row r="1519" spans="1:12" x14ac:dyDescent="0.3">
      <c r="A1519" s="194"/>
      <c r="B1519" s="194"/>
      <c r="C1519" s="194"/>
      <c r="D1519" s="194"/>
      <c r="E1519" s="194"/>
      <c r="F1519" s="194"/>
      <c r="G1519" s="194"/>
      <c r="H1519" s="194"/>
      <c r="I1519" s="194"/>
      <c r="J1519" s="194"/>
      <c r="K1519" s="194"/>
      <c r="L1519" s="194"/>
    </row>
    <row r="1520" spans="1:12" x14ac:dyDescent="0.3">
      <c r="A1520" s="194"/>
      <c r="B1520" s="194"/>
      <c r="C1520" s="194"/>
      <c r="D1520" s="194"/>
      <c r="E1520" s="194"/>
      <c r="F1520" s="194"/>
      <c r="G1520" s="194"/>
      <c r="H1520" s="194"/>
      <c r="I1520" s="194"/>
      <c r="J1520" s="194"/>
      <c r="K1520" s="194"/>
      <c r="L1520" s="194"/>
    </row>
    <row r="1521" spans="1:12" x14ac:dyDescent="0.3">
      <c r="A1521" s="194"/>
      <c r="B1521" s="194"/>
      <c r="C1521" s="194"/>
      <c r="D1521" s="194"/>
      <c r="E1521" s="194"/>
      <c r="F1521" s="194"/>
      <c r="G1521" s="194"/>
      <c r="H1521" s="194"/>
      <c r="I1521" s="194"/>
      <c r="J1521" s="194"/>
      <c r="K1521" s="194"/>
      <c r="L1521" s="194"/>
    </row>
    <row r="1522" spans="1:12" x14ac:dyDescent="0.3">
      <c r="A1522" s="194"/>
      <c r="B1522" s="194"/>
      <c r="C1522" s="194"/>
      <c r="D1522" s="194"/>
      <c r="E1522" s="194"/>
      <c r="F1522" s="194"/>
      <c r="G1522" s="194"/>
      <c r="H1522" s="194"/>
      <c r="I1522" s="194"/>
      <c r="J1522" s="194"/>
      <c r="K1522" s="194"/>
      <c r="L1522" s="194"/>
    </row>
    <row r="1523" spans="1:12" x14ac:dyDescent="0.3">
      <c r="A1523" s="194"/>
      <c r="B1523" s="194"/>
      <c r="C1523" s="194"/>
      <c r="D1523" s="194"/>
      <c r="E1523" s="194"/>
      <c r="F1523" s="194"/>
      <c r="G1523" s="194"/>
      <c r="H1523" s="194"/>
      <c r="I1523" s="194"/>
      <c r="J1523" s="194"/>
      <c r="K1523" s="194"/>
      <c r="L1523" s="194"/>
    </row>
    <row r="1524" spans="1:12" x14ac:dyDescent="0.3">
      <c r="A1524" s="194"/>
      <c r="B1524" s="194"/>
      <c r="C1524" s="194"/>
      <c r="D1524" s="194"/>
      <c r="E1524" s="194"/>
      <c r="F1524" s="194"/>
      <c r="G1524" s="194"/>
      <c r="H1524" s="194"/>
      <c r="I1524" s="194"/>
      <c r="J1524" s="194"/>
      <c r="K1524" s="194"/>
      <c r="L1524" s="194"/>
    </row>
    <row r="1525" spans="1:12" x14ac:dyDescent="0.3">
      <c r="A1525" s="194"/>
      <c r="B1525" s="194"/>
      <c r="C1525" s="194"/>
      <c r="D1525" s="194"/>
      <c r="E1525" s="194"/>
      <c r="F1525" s="194"/>
      <c r="G1525" s="194"/>
      <c r="H1525" s="194"/>
      <c r="I1525" s="194"/>
      <c r="J1525" s="194"/>
      <c r="K1525" s="194"/>
      <c r="L1525" s="194"/>
    </row>
    <row r="1526" spans="1:12" x14ac:dyDescent="0.3">
      <c r="A1526" s="194"/>
      <c r="B1526" s="194"/>
      <c r="C1526" s="194"/>
      <c r="D1526" s="194"/>
      <c r="E1526" s="194"/>
      <c r="F1526" s="194"/>
      <c r="G1526" s="194"/>
      <c r="H1526" s="194"/>
      <c r="I1526" s="194"/>
      <c r="J1526" s="194"/>
      <c r="K1526" s="194"/>
      <c r="L1526" s="194"/>
    </row>
    <row r="1527" spans="1:12" x14ac:dyDescent="0.3">
      <c r="A1527" s="194"/>
      <c r="B1527" s="194"/>
      <c r="C1527" s="194"/>
      <c r="D1527" s="194"/>
      <c r="E1527" s="194"/>
      <c r="F1527" s="194"/>
      <c r="G1527" s="194"/>
      <c r="H1527" s="194"/>
      <c r="I1527" s="194"/>
      <c r="J1527" s="194"/>
      <c r="K1527" s="194"/>
      <c r="L1527" s="194"/>
    </row>
    <row r="1528" spans="1:12" x14ac:dyDescent="0.3">
      <c r="A1528" s="194"/>
      <c r="B1528" s="194"/>
      <c r="C1528" s="194"/>
      <c r="D1528" s="194"/>
      <c r="E1528" s="194"/>
      <c r="F1528" s="194"/>
      <c r="G1528" s="194"/>
      <c r="H1528" s="194"/>
      <c r="I1528" s="194"/>
      <c r="J1528" s="194"/>
      <c r="K1528" s="194"/>
      <c r="L1528" s="194"/>
    </row>
    <row r="1529" spans="1:12" x14ac:dyDescent="0.3">
      <c r="A1529" s="194"/>
      <c r="B1529" s="194"/>
      <c r="C1529" s="194"/>
      <c r="D1529" s="194"/>
      <c r="E1529" s="194"/>
      <c r="F1529" s="194"/>
      <c r="G1529" s="194"/>
      <c r="H1529" s="194"/>
      <c r="I1529" s="194"/>
      <c r="J1529" s="194"/>
      <c r="K1529" s="194"/>
      <c r="L1529" s="194"/>
    </row>
    <row r="1530" spans="1:12" x14ac:dyDescent="0.3">
      <c r="A1530" s="194"/>
      <c r="B1530" s="194"/>
      <c r="C1530" s="194"/>
      <c r="D1530" s="194"/>
      <c r="E1530" s="194"/>
      <c r="F1530" s="194"/>
      <c r="G1530" s="194"/>
      <c r="H1530" s="194"/>
      <c r="I1530" s="194"/>
      <c r="J1530" s="194"/>
      <c r="K1530" s="194"/>
      <c r="L1530" s="194"/>
    </row>
    <row r="1531" spans="1:12" x14ac:dyDescent="0.3">
      <c r="A1531" s="194"/>
      <c r="B1531" s="194"/>
      <c r="C1531" s="194"/>
      <c r="D1531" s="194"/>
      <c r="E1531" s="194"/>
      <c r="F1531" s="194"/>
      <c r="G1531" s="194"/>
      <c r="H1531" s="194"/>
      <c r="I1531" s="194"/>
      <c r="J1531" s="194"/>
      <c r="K1531" s="194"/>
      <c r="L1531" s="194"/>
    </row>
    <row r="1532" spans="1:12" x14ac:dyDescent="0.3">
      <c r="A1532" s="194"/>
      <c r="B1532" s="194"/>
      <c r="C1532" s="194"/>
      <c r="D1532" s="194"/>
      <c r="E1532" s="194"/>
      <c r="F1532" s="194"/>
      <c r="G1532" s="194"/>
      <c r="H1532" s="194"/>
      <c r="I1532" s="194"/>
      <c r="J1532" s="194"/>
      <c r="K1532" s="194"/>
      <c r="L1532" s="194"/>
    </row>
    <row r="1533" spans="1:12" x14ac:dyDescent="0.3">
      <c r="A1533" s="194"/>
      <c r="B1533" s="194"/>
      <c r="C1533" s="194"/>
      <c r="D1533" s="194"/>
      <c r="E1533" s="194"/>
      <c r="F1533" s="194"/>
      <c r="G1533" s="194"/>
      <c r="H1533" s="194"/>
      <c r="I1533" s="194"/>
      <c r="J1533" s="194"/>
      <c r="K1533" s="194"/>
      <c r="L1533" s="194"/>
    </row>
    <row r="1534" spans="1:12" x14ac:dyDescent="0.3">
      <c r="A1534" s="194"/>
      <c r="B1534" s="194"/>
      <c r="C1534" s="194"/>
      <c r="D1534" s="194"/>
      <c r="E1534" s="194"/>
      <c r="F1534" s="194"/>
      <c r="G1534" s="194"/>
      <c r="H1534" s="194"/>
      <c r="I1534" s="194"/>
      <c r="J1534" s="194"/>
      <c r="K1534" s="194"/>
      <c r="L1534" s="194"/>
    </row>
    <row r="1535" spans="1:12" x14ac:dyDescent="0.3">
      <c r="A1535" s="194"/>
      <c r="B1535" s="194"/>
      <c r="C1535" s="194"/>
      <c r="D1535" s="194"/>
      <c r="E1535" s="194"/>
      <c r="F1535" s="194"/>
      <c r="G1535" s="194"/>
      <c r="H1535" s="194"/>
      <c r="I1535" s="194"/>
      <c r="J1535" s="194"/>
      <c r="K1535" s="194"/>
      <c r="L1535" s="194"/>
    </row>
    <row r="1536" spans="1:12" x14ac:dyDescent="0.3">
      <c r="A1536" s="194"/>
      <c r="B1536" s="194"/>
      <c r="C1536" s="194"/>
      <c r="D1536" s="194"/>
      <c r="E1536" s="194"/>
      <c r="F1536" s="194"/>
      <c r="G1536" s="194"/>
      <c r="H1536" s="194"/>
      <c r="I1536" s="194"/>
      <c r="J1536" s="194"/>
      <c r="K1536" s="194"/>
      <c r="L1536" s="194"/>
    </row>
    <row r="1537" spans="1:12" x14ac:dyDescent="0.3">
      <c r="A1537" s="194"/>
      <c r="B1537" s="194"/>
      <c r="C1537" s="194"/>
      <c r="D1537" s="194"/>
      <c r="E1537" s="194"/>
      <c r="F1537" s="194"/>
      <c r="G1537" s="194"/>
      <c r="H1537" s="194"/>
      <c r="I1537" s="194"/>
      <c r="J1537" s="194"/>
      <c r="K1537" s="194"/>
      <c r="L1537" s="194"/>
    </row>
    <row r="1538" spans="1:12" x14ac:dyDescent="0.3">
      <c r="A1538" s="194"/>
      <c r="B1538" s="194"/>
      <c r="C1538" s="194"/>
      <c r="D1538" s="194"/>
      <c r="E1538" s="194"/>
      <c r="F1538" s="194"/>
      <c r="G1538" s="194"/>
      <c r="H1538" s="194"/>
      <c r="I1538" s="194"/>
      <c r="J1538" s="194"/>
      <c r="K1538" s="194"/>
      <c r="L1538" s="194"/>
    </row>
    <row r="1539" spans="1:12" x14ac:dyDescent="0.3">
      <c r="A1539" s="194"/>
      <c r="B1539" s="194"/>
      <c r="C1539" s="194"/>
      <c r="D1539" s="194"/>
      <c r="E1539" s="194"/>
      <c r="F1539" s="194"/>
      <c r="G1539" s="194"/>
      <c r="H1539" s="194"/>
      <c r="I1539" s="194"/>
      <c r="J1539" s="194"/>
      <c r="K1539" s="194"/>
      <c r="L1539" s="194"/>
    </row>
    <row r="1540" spans="1:12" x14ac:dyDescent="0.3">
      <c r="A1540" s="194"/>
      <c r="B1540" s="194"/>
      <c r="C1540" s="194"/>
      <c r="D1540" s="194"/>
      <c r="E1540" s="194"/>
      <c r="F1540" s="194"/>
      <c r="G1540" s="194"/>
      <c r="H1540" s="194"/>
      <c r="I1540" s="194"/>
      <c r="J1540" s="194"/>
      <c r="K1540" s="194"/>
      <c r="L1540" s="194"/>
    </row>
    <row r="1541" spans="1:12" x14ac:dyDescent="0.3">
      <c r="A1541" s="194"/>
      <c r="B1541" s="194"/>
      <c r="C1541" s="194"/>
      <c r="D1541" s="194"/>
      <c r="E1541" s="194"/>
      <c r="F1541" s="194"/>
      <c r="G1541" s="194"/>
      <c r="H1541" s="194"/>
      <c r="I1541" s="194"/>
      <c r="J1541" s="194"/>
      <c r="K1541" s="194"/>
      <c r="L1541" s="194"/>
    </row>
    <row r="1542" spans="1:12" x14ac:dyDescent="0.3">
      <c r="A1542" s="194"/>
      <c r="B1542" s="194"/>
      <c r="C1542" s="194"/>
      <c r="D1542" s="194"/>
      <c r="E1542" s="194"/>
      <c r="F1542" s="194"/>
      <c r="G1542" s="194"/>
      <c r="H1542" s="194"/>
      <c r="I1542" s="194"/>
      <c r="J1542" s="194"/>
      <c r="K1542" s="194"/>
      <c r="L1542" s="194"/>
    </row>
    <row r="1543" spans="1:12" x14ac:dyDescent="0.3">
      <c r="A1543" s="194"/>
      <c r="B1543" s="194"/>
      <c r="C1543" s="194"/>
      <c r="D1543" s="194"/>
      <c r="E1543" s="194"/>
      <c r="F1543" s="194"/>
      <c r="G1543" s="194"/>
      <c r="H1543" s="194"/>
      <c r="I1543" s="194"/>
      <c r="J1543" s="194"/>
      <c r="K1543" s="194"/>
      <c r="L1543" s="194"/>
    </row>
    <row r="1544" spans="1:12" x14ac:dyDescent="0.3">
      <c r="A1544" s="194"/>
      <c r="B1544" s="194"/>
      <c r="C1544" s="194"/>
      <c r="D1544" s="194"/>
      <c r="E1544" s="194"/>
      <c r="F1544" s="194"/>
      <c r="G1544" s="194"/>
      <c r="H1544" s="194"/>
      <c r="I1544" s="194"/>
      <c r="J1544" s="194"/>
      <c r="K1544" s="194"/>
      <c r="L1544" s="194"/>
    </row>
    <row r="1545" spans="1:12" x14ac:dyDescent="0.3">
      <c r="A1545" s="194"/>
      <c r="B1545" s="194"/>
      <c r="C1545" s="194"/>
      <c r="D1545" s="194"/>
      <c r="E1545" s="194"/>
      <c r="F1545" s="194"/>
      <c r="G1545" s="194"/>
      <c r="H1545" s="194"/>
      <c r="I1545" s="194"/>
      <c r="J1545" s="194"/>
      <c r="K1545" s="194"/>
      <c r="L1545" s="194"/>
    </row>
    <row r="1546" spans="1:12" x14ac:dyDescent="0.3">
      <c r="A1546" s="194"/>
      <c r="B1546" s="194"/>
      <c r="C1546" s="194"/>
      <c r="D1546" s="194"/>
      <c r="E1546" s="194"/>
      <c r="F1546" s="194"/>
      <c r="G1546" s="194"/>
      <c r="H1546" s="194"/>
      <c r="I1546" s="194"/>
      <c r="J1546" s="194"/>
      <c r="K1546" s="194"/>
      <c r="L1546" s="194"/>
    </row>
    <row r="1547" spans="1:12" x14ac:dyDescent="0.3">
      <c r="A1547" s="194"/>
      <c r="B1547" s="194"/>
      <c r="C1547" s="194"/>
      <c r="D1547" s="194"/>
      <c r="E1547" s="194"/>
      <c r="F1547" s="194"/>
      <c r="G1547" s="194"/>
      <c r="H1547" s="194"/>
      <c r="I1547" s="194"/>
      <c r="J1547" s="194"/>
      <c r="K1547" s="194"/>
      <c r="L1547" s="194"/>
    </row>
    <row r="1548" spans="1:12" x14ac:dyDescent="0.3">
      <c r="A1548" s="194"/>
      <c r="B1548" s="194"/>
      <c r="C1548" s="194"/>
      <c r="D1548" s="194"/>
      <c r="E1548" s="194"/>
      <c r="F1548" s="194"/>
      <c r="G1548" s="194"/>
      <c r="H1548" s="194"/>
      <c r="I1548" s="194"/>
      <c r="J1548" s="194"/>
      <c r="K1548" s="194"/>
      <c r="L1548" s="194"/>
    </row>
    <row r="1549" spans="1:12" x14ac:dyDescent="0.3">
      <c r="A1549" s="194"/>
      <c r="B1549" s="194"/>
      <c r="C1549" s="194"/>
      <c r="D1549" s="194"/>
      <c r="E1549" s="194"/>
      <c r="F1549" s="194"/>
      <c r="G1549" s="194"/>
      <c r="H1549" s="194"/>
      <c r="I1549" s="194"/>
      <c r="J1549" s="194"/>
      <c r="K1549" s="194"/>
      <c r="L1549" s="194"/>
    </row>
    <row r="1550" spans="1:12" x14ac:dyDescent="0.3">
      <c r="A1550" s="194"/>
      <c r="B1550" s="194"/>
      <c r="C1550" s="194"/>
      <c r="D1550" s="194"/>
      <c r="E1550" s="194"/>
      <c r="F1550" s="194"/>
      <c r="G1550" s="194"/>
      <c r="H1550" s="194"/>
      <c r="I1550" s="194"/>
      <c r="J1550" s="194"/>
      <c r="K1550" s="194"/>
      <c r="L1550" s="194"/>
    </row>
    <row r="1551" spans="1:12" x14ac:dyDescent="0.3">
      <c r="A1551" s="194"/>
      <c r="B1551" s="194"/>
      <c r="C1551" s="194"/>
      <c r="D1551" s="194"/>
      <c r="E1551" s="194"/>
      <c r="F1551" s="194"/>
      <c r="G1551" s="194"/>
      <c r="H1551" s="194"/>
      <c r="I1551" s="194"/>
      <c r="J1551" s="194"/>
      <c r="K1551" s="194"/>
      <c r="L1551" s="194"/>
    </row>
    <row r="1552" spans="1:12" x14ac:dyDescent="0.3">
      <c r="A1552" s="194"/>
      <c r="B1552" s="194"/>
      <c r="C1552" s="194"/>
      <c r="D1552" s="194"/>
      <c r="E1552" s="194"/>
      <c r="F1552" s="194"/>
      <c r="G1552" s="194"/>
      <c r="H1552" s="194"/>
      <c r="I1552" s="194"/>
      <c r="J1552" s="194"/>
      <c r="K1552" s="194"/>
      <c r="L1552" s="194"/>
    </row>
    <row r="1553" spans="1:12" x14ac:dyDescent="0.3">
      <c r="A1553" s="194"/>
      <c r="B1553" s="194"/>
      <c r="C1553" s="194"/>
      <c r="D1553" s="194"/>
      <c r="E1553" s="194"/>
      <c r="F1553" s="194"/>
      <c r="G1553" s="194"/>
      <c r="H1553" s="194"/>
      <c r="I1553" s="194"/>
      <c r="J1553" s="194"/>
      <c r="K1553" s="194"/>
      <c r="L1553" s="194"/>
    </row>
    <row r="1554" spans="1:12" x14ac:dyDescent="0.3">
      <c r="A1554" s="194"/>
      <c r="B1554" s="194"/>
      <c r="C1554" s="194"/>
      <c r="D1554" s="194"/>
      <c r="E1554" s="194"/>
      <c r="F1554" s="194"/>
      <c r="G1554" s="194"/>
      <c r="H1554" s="194"/>
      <c r="I1554" s="194"/>
      <c r="J1554" s="194"/>
      <c r="K1554" s="194"/>
      <c r="L1554" s="194"/>
    </row>
    <row r="1555" spans="1:12" x14ac:dyDescent="0.3">
      <c r="A1555" s="194"/>
      <c r="B1555" s="194"/>
      <c r="C1555" s="194"/>
      <c r="D1555" s="194"/>
      <c r="E1555" s="194"/>
      <c r="F1555" s="194"/>
      <c r="G1555" s="194"/>
      <c r="H1555" s="194"/>
      <c r="I1555" s="194"/>
      <c r="J1555" s="194"/>
      <c r="K1555" s="194"/>
      <c r="L1555" s="194"/>
    </row>
    <row r="1556" spans="1:12" x14ac:dyDescent="0.3">
      <c r="A1556" s="194"/>
      <c r="B1556" s="194"/>
      <c r="C1556" s="194"/>
      <c r="D1556" s="194"/>
      <c r="E1556" s="194"/>
      <c r="F1556" s="194"/>
      <c r="G1556" s="194"/>
      <c r="H1556" s="194"/>
      <c r="I1556" s="194"/>
      <c r="J1556" s="194"/>
      <c r="K1556" s="194"/>
      <c r="L1556" s="194"/>
    </row>
    <row r="1557" spans="1:12" x14ac:dyDescent="0.3">
      <c r="A1557" s="194"/>
      <c r="B1557" s="194"/>
      <c r="C1557" s="194"/>
      <c r="D1557" s="194"/>
      <c r="E1557" s="194"/>
      <c r="F1557" s="194"/>
      <c r="G1557" s="194"/>
      <c r="H1557" s="194"/>
      <c r="I1557" s="194"/>
      <c r="J1557" s="194"/>
      <c r="K1557" s="194"/>
      <c r="L1557" s="194"/>
    </row>
    <row r="1558" spans="1:12" x14ac:dyDescent="0.3">
      <c r="A1558" s="194"/>
      <c r="B1558" s="194"/>
      <c r="C1558" s="194"/>
      <c r="D1558" s="194"/>
      <c r="E1558" s="194"/>
      <c r="F1558" s="194"/>
      <c r="G1558" s="194"/>
      <c r="H1558" s="194"/>
      <c r="I1558" s="194"/>
      <c r="J1558" s="194"/>
      <c r="K1558" s="194"/>
      <c r="L1558" s="194"/>
    </row>
    <row r="1559" spans="1:12" x14ac:dyDescent="0.3">
      <c r="A1559" s="194"/>
      <c r="B1559" s="194"/>
      <c r="C1559" s="194"/>
      <c r="D1559" s="194"/>
      <c r="E1559" s="194"/>
      <c r="F1559" s="194"/>
      <c r="G1559" s="194"/>
      <c r="H1559" s="194"/>
      <c r="I1559" s="194"/>
      <c r="J1559" s="194"/>
      <c r="K1559" s="194"/>
      <c r="L1559" s="194"/>
    </row>
    <row r="1560" spans="1:12" x14ac:dyDescent="0.3">
      <c r="A1560" s="194"/>
      <c r="B1560" s="194"/>
      <c r="C1560" s="194"/>
      <c r="D1560" s="194"/>
      <c r="E1560" s="194"/>
      <c r="F1560" s="194"/>
      <c r="G1560" s="194"/>
      <c r="H1560" s="194"/>
      <c r="I1560" s="194"/>
      <c r="J1560" s="194"/>
      <c r="K1560" s="194"/>
      <c r="L1560" s="194"/>
    </row>
    <row r="1561" spans="1:12" x14ac:dyDescent="0.3">
      <c r="A1561" s="194"/>
      <c r="B1561" s="194"/>
      <c r="C1561" s="194"/>
      <c r="D1561" s="194"/>
      <c r="E1561" s="194"/>
      <c r="F1561" s="194"/>
      <c r="G1561" s="194"/>
      <c r="H1561" s="194"/>
      <c r="I1561" s="194"/>
      <c r="J1561" s="194"/>
      <c r="K1561" s="194"/>
      <c r="L1561" s="194"/>
    </row>
    <row r="1562" spans="1:12" x14ac:dyDescent="0.3">
      <c r="A1562" s="194"/>
      <c r="B1562" s="194"/>
      <c r="C1562" s="194"/>
      <c r="D1562" s="194"/>
      <c r="E1562" s="194"/>
      <c r="F1562" s="194"/>
      <c r="G1562" s="194"/>
      <c r="H1562" s="194"/>
      <c r="I1562" s="194"/>
      <c r="J1562" s="194"/>
      <c r="K1562" s="194"/>
      <c r="L1562" s="194"/>
    </row>
    <row r="1563" spans="1:12" x14ac:dyDescent="0.3">
      <c r="A1563" s="194"/>
      <c r="B1563" s="194"/>
      <c r="C1563" s="194"/>
      <c r="D1563" s="194"/>
      <c r="E1563" s="194"/>
      <c r="F1563" s="194"/>
      <c r="G1563" s="194"/>
      <c r="H1563" s="194"/>
      <c r="I1563" s="194"/>
      <c r="J1563" s="194"/>
      <c r="K1563" s="194"/>
      <c r="L1563" s="194"/>
    </row>
    <row r="1564" spans="1:12" x14ac:dyDescent="0.3">
      <c r="A1564" s="194"/>
      <c r="B1564" s="194"/>
      <c r="C1564" s="194"/>
      <c r="D1564" s="194"/>
      <c r="E1564" s="194"/>
      <c r="F1564" s="194"/>
      <c r="G1564" s="194"/>
      <c r="H1564" s="194"/>
      <c r="I1564" s="194"/>
      <c r="J1564" s="194"/>
      <c r="K1564" s="194"/>
      <c r="L1564" s="194"/>
    </row>
    <row r="1565" spans="1:12" x14ac:dyDescent="0.3">
      <c r="A1565" s="194"/>
      <c r="B1565" s="194"/>
      <c r="C1565" s="194"/>
      <c r="D1565" s="194"/>
      <c r="E1565" s="194"/>
      <c r="F1565" s="194"/>
      <c r="G1565" s="194"/>
      <c r="H1565" s="194"/>
      <c r="I1565" s="194"/>
      <c r="J1565" s="194"/>
      <c r="K1565" s="194"/>
      <c r="L1565" s="194"/>
    </row>
    <row r="1566" spans="1:12" x14ac:dyDescent="0.3">
      <c r="A1566" s="194"/>
      <c r="B1566" s="194"/>
      <c r="C1566" s="194"/>
      <c r="D1566" s="194"/>
      <c r="E1566" s="194"/>
      <c r="F1566" s="194"/>
      <c r="G1566" s="194"/>
      <c r="H1566" s="194"/>
      <c r="I1566" s="194"/>
      <c r="J1566" s="194"/>
      <c r="K1566" s="194"/>
      <c r="L1566" s="194"/>
    </row>
    <row r="1567" spans="1:12" x14ac:dyDescent="0.3">
      <c r="A1567" s="194"/>
      <c r="B1567" s="194"/>
      <c r="C1567" s="194"/>
      <c r="D1567" s="194"/>
      <c r="E1567" s="194"/>
      <c r="F1567" s="194"/>
      <c r="G1567" s="194"/>
      <c r="H1567" s="194"/>
      <c r="I1567" s="194"/>
      <c r="J1567" s="194"/>
      <c r="K1567" s="194"/>
      <c r="L1567" s="194"/>
    </row>
    <row r="1568" spans="1:12" x14ac:dyDescent="0.3">
      <c r="A1568" s="194"/>
      <c r="B1568" s="194"/>
      <c r="C1568" s="194"/>
      <c r="D1568" s="194"/>
      <c r="E1568" s="194"/>
      <c r="F1568" s="194"/>
      <c r="G1568" s="194"/>
      <c r="H1568" s="194"/>
      <c r="I1568" s="194"/>
      <c r="J1568" s="194"/>
      <c r="K1568" s="194"/>
      <c r="L1568" s="194"/>
    </row>
    <row r="1569" spans="1:12" x14ac:dyDescent="0.3">
      <c r="A1569" s="194"/>
      <c r="B1569" s="194"/>
      <c r="C1569" s="194"/>
      <c r="D1569" s="194"/>
      <c r="E1569" s="194"/>
      <c r="F1569" s="194"/>
      <c r="G1569" s="194"/>
      <c r="H1569" s="194"/>
      <c r="I1569" s="194"/>
      <c r="J1569" s="194"/>
      <c r="K1569" s="194"/>
      <c r="L1569" s="194"/>
    </row>
    <row r="1570" spans="1:12" x14ac:dyDescent="0.3">
      <c r="A1570" s="194"/>
      <c r="B1570" s="194"/>
      <c r="C1570" s="194"/>
      <c r="D1570" s="194"/>
      <c r="E1570" s="194"/>
      <c r="F1570" s="194"/>
      <c r="G1570" s="194"/>
      <c r="H1570" s="194"/>
      <c r="I1570" s="194"/>
      <c r="J1570" s="194"/>
      <c r="K1570" s="194"/>
      <c r="L1570" s="194"/>
    </row>
    <row r="1571" spans="1:12" x14ac:dyDescent="0.3">
      <c r="A1571" s="194"/>
      <c r="B1571" s="194"/>
      <c r="C1571" s="194"/>
      <c r="D1571" s="194"/>
      <c r="E1571" s="194"/>
      <c r="F1571" s="194"/>
      <c r="G1571" s="194"/>
      <c r="H1571" s="194"/>
      <c r="I1571" s="194"/>
      <c r="J1571" s="194"/>
      <c r="K1571" s="194"/>
      <c r="L1571" s="194"/>
    </row>
    <row r="1572" spans="1:12" x14ac:dyDescent="0.3">
      <c r="A1572" s="194"/>
      <c r="B1572" s="194"/>
      <c r="C1572" s="194"/>
      <c r="D1572" s="194"/>
      <c r="E1572" s="194"/>
      <c r="F1572" s="194"/>
      <c r="G1572" s="194"/>
      <c r="H1572" s="194"/>
      <c r="I1572" s="194"/>
      <c r="J1572" s="194"/>
      <c r="K1572" s="194"/>
      <c r="L1572" s="194"/>
    </row>
    <row r="1573" spans="1:12" x14ac:dyDescent="0.3">
      <c r="A1573" s="194"/>
      <c r="B1573" s="194"/>
      <c r="C1573" s="194"/>
      <c r="D1573" s="194"/>
      <c r="E1573" s="194"/>
      <c r="F1573" s="194"/>
      <c r="G1573" s="194"/>
      <c r="H1573" s="194"/>
      <c r="I1573" s="194"/>
      <c r="J1573" s="194"/>
      <c r="K1573" s="194"/>
      <c r="L1573" s="194"/>
    </row>
    <row r="1574" spans="1:12" x14ac:dyDescent="0.3">
      <c r="A1574" s="194"/>
      <c r="B1574" s="194"/>
      <c r="C1574" s="194"/>
      <c r="D1574" s="194"/>
      <c r="E1574" s="194"/>
      <c r="F1574" s="194"/>
      <c r="G1574" s="194"/>
      <c r="H1574" s="194"/>
      <c r="I1574" s="194"/>
      <c r="J1574" s="194"/>
      <c r="K1574" s="194"/>
      <c r="L1574" s="194"/>
    </row>
    <row r="1575" spans="1:12" x14ac:dyDescent="0.3">
      <c r="A1575" s="194"/>
      <c r="B1575" s="194"/>
      <c r="C1575" s="194"/>
      <c r="D1575" s="194"/>
      <c r="E1575" s="194"/>
      <c r="F1575" s="194"/>
      <c r="G1575" s="194"/>
      <c r="H1575" s="194"/>
      <c r="I1575" s="194"/>
      <c r="J1575" s="194"/>
      <c r="K1575" s="194"/>
      <c r="L1575" s="194"/>
    </row>
    <row r="1576" spans="1:12" x14ac:dyDescent="0.3">
      <c r="A1576" s="194"/>
      <c r="B1576" s="194"/>
      <c r="C1576" s="194"/>
      <c r="D1576" s="194"/>
      <c r="E1576" s="194"/>
      <c r="F1576" s="194"/>
      <c r="G1576" s="194"/>
      <c r="H1576" s="194"/>
      <c r="I1576" s="194"/>
      <c r="J1576" s="194"/>
      <c r="K1576" s="194"/>
      <c r="L1576" s="194"/>
    </row>
    <row r="1577" spans="1:12" x14ac:dyDescent="0.3">
      <c r="A1577" s="194"/>
      <c r="B1577" s="194"/>
      <c r="C1577" s="194"/>
      <c r="D1577" s="194"/>
      <c r="E1577" s="194"/>
      <c r="F1577" s="194"/>
      <c r="G1577" s="194"/>
      <c r="H1577" s="194"/>
      <c r="I1577" s="194"/>
      <c r="J1577" s="194"/>
      <c r="K1577" s="194"/>
      <c r="L1577" s="194"/>
    </row>
    <row r="1578" spans="1:12" x14ac:dyDescent="0.3">
      <c r="A1578" s="194"/>
      <c r="B1578" s="194"/>
      <c r="C1578" s="194"/>
      <c r="D1578" s="194"/>
      <c r="E1578" s="194"/>
      <c r="F1578" s="194"/>
      <c r="G1578" s="194"/>
      <c r="H1578" s="194"/>
      <c r="I1578" s="194"/>
      <c r="J1578" s="194"/>
      <c r="K1578" s="194"/>
      <c r="L1578" s="194"/>
    </row>
    <row r="1579" spans="1:12" x14ac:dyDescent="0.3">
      <c r="A1579" s="194"/>
      <c r="B1579" s="194"/>
      <c r="C1579" s="194"/>
      <c r="D1579" s="194"/>
      <c r="E1579" s="194"/>
      <c r="F1579" s="194"/>
      <c r="G1579" s="194"/>
      <c r="H1579" s="194"/>
      <c r="I1579" s="194"/>
      <c r="J1579" s="194"/>
      <c r="K1579" s="194"/>
      <c r="L1579" s="194"/>
    </row>
    <row r="1580" spans="1:12" x14ac:dyDescent="0.3">
      <c r="A1580" s="194"/>
      <c r="B1580" s="194"/>
      <c r="C1580" s="194"/>
      <c r="D1580" s="194"/>
      <c r="E1580" s="194"/>
      <c r="F1580" s="194"/>
      <c r="G1580" s="194"/>
      <c r="H1580" s="194"/>
      <c r="I1580" s="194"/>
      <c r="J1580" s="194"/>
      <c r="K1580" s="194"/>
      <c r="L1580" s="194"/>
    </row>
    <row r="1581" spans="1:12" x14ac:dyDescent="0.3">
      <c r="A1581" s="194"/>
      <c r="B1581" s="194"/>
      <c r="C1581" s="194"/>
      <c r="D1581" s="194"/>
      <c r="E1581" s="194"/>
      <c r="F1581" s="194"/>
      <c r="G1581" s="194"/>
      <c r="H1581" s="194"/>
      <c r="I1581" s="194"/>
      <c r="J1581" s="194"/>
      <c r="K1581" s="194"/>
      <c r="L1581" s="194"/>
    </row>
    <row r="1582" spans="1:12" x14ac:dyDescent="0.3">
      <c r="A1582" s="194"/>
      <c r="B1582" s="194"/>
      <c r="C1582" s="194"/>
      <c r="D1582" s="194"/>
      <c r="E1582" s="194"/>
      <c r="F1582" s="194"/>
      <c r="G1582" s="194"/>
      <c r="H1582" s="194"/>
      <c r="I1582" s="194"/>
      <c r="J1582" s="194"/>
      <c r="K1582" s="194"/>
      <c r="L1582" s="194"/>
    </row>
    <row r="1583" spans="1:12" x14ac:dyDescent="0.3">
      <c r="A1583" s="194"/>
      <c r="B1583" s="194"/>
      <c r="C1583" s="194"/>
      <c r="D1583" s="194"/>
      <c r="E1583" s="194"/>
      <c r="F1583" s="194"/>
      <c r="G1583" s="194"/>
      <c r="H1583" s="194"/>
      <c r="I1583" s="194"/>
      <c r="J1583" s="194"/>
      <c r="K1583" s="194"/>
      <c r="L1583" s="194"/>
    </row>
    <row r="1584" spans="1:12" x14ac:dyDescent="0.3">
      <c r="A1584" s="194"/>
      <c r="B1584" s="194"/>
      <c r="C1584" s="194"/>
      <c r="D1584" s="194"/>
      <c r="E1584" s="194"/>
      <c r="F1584" s="194"/>
      <c r="G1584" s="194"/>
      <c r="H1584" s="194"/>
      <c r="I1584" s="194"/>
      <c r="J1584" s="194"/>
      <c r="K1584" s="194"/>
      <c r="L1584" s="194"/>
    </row>
    <row r="1585" spans="1:12" x14ac:dyDescent="0.3">
      <c r="A1585" s="194"/>
      <c r="B1585" s="194"/>
      <c r="C1585" s="194"/>
      <c r="D1585" s="194"/>
      <c r="E1585" s="194"/>
      <c r="F1585" s="194"/>
      <c r="G1585" s="194"/>
      <c r="H1585" s="194"/>
      <c r="I1585" s="194"/>
      <c r="J1585" s="194"/>
      <c r="K1585" s="194"/>
      <c r="L1585" s="194"/>
    </row>
    <row r="1586" spans="1:12" x14ac:dyDescent="0.3">
      <c r="A1586" s="194"/>
      <c r="B1586" s="194"/>
      <c r="C1586" s="194"/>
      <c r="D1586" s="194"/>
      <c r="E1586" s="194"/>
      <c r="F1586" s="194"/>
      <c r="G1586" s="194"/>
      <c r="H1586" s="194"/>
      <c r="I1586" s="194"/>
      <c r="J1586" s="194"/>
      <c r="K1586" s="194"/>
      <c r="L1586" s="194"/>
    </row>
    <row r="1587" spans="1:12" x14ac:dyDescent="0.3">
      <c r="A1587" s="194"/>
      <c r="B1587" s="194"/>
      <c r="C1587" s="194"/>
      <c r="D1587" s="194"/>
      <c r="E1587" s="194"/>
      <c r="F1587" s="194"/>
      <c r="G1587" s="194"/>
      <c r="H1587" s="194"/>
      <c r="I1587" s="194"/>
      <c r="J1587" s="194"/>
      <c r="K1587" s="194"/>
      <c r="L1587" s="194"/>
    </row>
    <row r="1588" spans="1:12" x14ac:dyDescent="0.3">
      <c r="A1588" s="194"/>
      <c r="B1588" s="194"/>
      <c r="C1588" s="194"/>
      <c r="D1588" s="194"/>
      <c r="E1588" s="194"/>
      <c r="F1588" s="194"/>
      <c r="G1588" s="194"/>
      <c r="H1588" s="194"/>
      <c r="I1588" s="194"/>
      <c r="J1588" s="194"/>
      <c r="K1588" s="194"/>
      <c r="L1588" s="194"/>
    </row>
    <row r="1589" spans="1:12" x14ac:dyDescent="0.3">
      <c r="A1589" s="194"/>
      <c r="B1589" s="194"/>
      <c r="C1589" s="194"/>
      <c r="D1589" s="194"/>
      <c r="E1589" s="194"/>
      <c r="F1589" s="194"/>
      <c r="G1589" s="194"/>
      <c r="H1589" s="194"/>
      <c r="I1589" s="194"/>
      <c r="J1589" s="194"/>
      <c r="K1589" s="194"/>
      <c r="L1589" s="194"/>
    </row>
    <row r="1590" spans="1:12" x14ac:dyDescent="0.3">
      <c r="A1590" s="194"/>
      <c r="B1590" s="194"/>
      <c r="C1590" s="194"/>
      <c r="D1590" s="194"/>
      <c r="E1590" s="194"/>
      <c r="F1590" s="194"/>
      <c r="G1590" s="194"/>
      <c r="H1590" s="194"/>
      <c r="I1590" s="194"/>
      <c r="J1590" s="194"/>
      <c r="K1590" s="194"/>
      <c r="L1590" s="194"/>
    </row>
    <row r="1591" spans="1:12" x14ac:dyDescent="0.3">
      <c r="A1591" s="194"/>
      <c r="B1591" s="194"/>
      <c r="C1591" s="194"/>
      <c r="D1591" s="194"/>
      <c r="E1591" s="194"/>
      <c r="F1591" s="194"/>
      <c r="G1591" s="194"/>
      <c r="H1591" s="194"/>
      <c r="I1591" s="194"/>
      <c r="J1591" s="194"/>
      <c r="K1591" s="194"/>
      <c r="L1591" s="194"/>
    </row>
    <row r="1592" spans="1:12" x14ac:dyDescent="0.3">
      <c r="A1592" s="194"/>
      <c r="B1592" s="194"/>
      <c r="C1592" s="194"/>
      <c r="D1592" s="194"/>
      <c r="E1592" s="194"/>
      <c r="F1592" s="194"/>
      <c r="G1592" s="194"/>
      <c r="H1592" s="194"/>
      <c r="I1592" s="194"/>
      <c r="J1592" s="194"/>
      <c r="K1592" s="194"/>
      <c r="L1592" s="194"/>
    </row>
    <row r="1593" spans="1:12" x14ac:dyDescent="0.3">
      <c r="A1593" s="194"/>
      <c r="B1593" s="194"/>
      <c r="C1593" s="194"/>
      <c r="D1593" s="194"/>
      <c r="E1593" s="194"/>
      <c r="F1593" s="194"/>
      <c r="G1593" s="194"/>
      <c r="H1593" s="194"/>
      <c r="I1593" s="194"/>
      <c r="J1593" s="194"/>
      <c r="K1593" s="194"/>
      <c r="L1593" s="194"/>
    </row>
    <row r="1594" spans="1:12" x14ac:dyDescent="0.3">
      <c r="A1594" s="194"/>
      <c r="B1594" s="194"/>
      <c r="C1594" s="194"/>
      <c r="D1594" s="194"/>
      <c r="E1594" s="194"/>
      <c r="F1594" s="194"/>
      <c r="G1594" s="194"/>
      <c r="H1594" s="194"/>
      <c r="I1594" s="194"/>
      <c r="J1594" s="194"/>
      <c r="K1594" s="194"/>
      <c r="L1594" s="194"/>
    </row>
    <row r="1595" spans="1:12" x14ac:dyDescent="0.3">
      <c r="A1595" s="194"/>
      <c r="B1595" s="194"/>
      <c r="C1595" s="194"/>
      <c r="D1595" s="194"/>
      <c r="E1595" s="194"/>
      <c r="F1595" s="194"/>
      <c r="G1595" s="194"/>
      <c r="H1595" s="194"/>
      <c r="I1595" s="194"/>
      <c r="J1595" s="194"/>
      <c r="K1595" s="194"/>
      <c r="L1595" s="194"/>
    </row>
    <row r="1596" spans="1:12" x14ac:dyDescent="0.3">
      <c r="A1596" s="194"/>
      <c r="B1596" s="194"/>
      <c r="C1596" s="194"/>
      <c r="D1596" s="194"/>
      <c r="E1596" s="194"/>
      <c r="F1596" s="194"/>
      <c r="G1596" s="194"/>
      <c r="H1596" s="194"/>
      <c r="I1596" s="194"/>
      <c r="J1596" s="194"/>
      <c r="K1596" s="194"/>
      <c r="L1596" s="194"/>
    </row>
    <row r="1597" spans="1:12" x14ac:dyDescent="0.3">
      <c r="A1597" s="194"/>
      <c r="B1597" s="194"/>
      <c r="C1597" s="194"/>
      <c r="D1597" s="194"/>
      <c r="E1597" s="194"/>
      <c r="F1597" s="194"/>
      <c r="G1597" s="194"/>
      <c r="H1597" s="194"/>
      <c r="I1597" s="194"/>
      <c r="J1597" s="194"/>
      <c r="K1597" s="194"/>
      <c r="L1597" s="194"/>
    </row>
    <row r="1598" spans="1:12" x14ac:dyDescent="0.3">
      <c r="A1598" s="194"/>
      <c r="B1598" s="194"/>
      <c r="C1598" s="194"/>
      <c r="D1598" s="194"/>
      <c r="E1598" s="194"/>
      <c r="F1598" s="194"/>
      <c r="G1598" s="194"/>
      <c r="H1598" s="194"/>
      <c r="I1598" s="194"/>
      <c r="J1598" s="194"/>
      <c r="K1598" s="194"/>
      <c r="L1598" s="194"/>
    </row>
    <row r="1599" spans="1:12" x14ac:dyDescent="0.3">
      <c r="A1599" s="194"/>
      <c r="B1599" s="194"/>
      <c r="C1599" s="194"/>
      <c r="D1599" s="194"/>
      <c r="E1599" s="194"/>
      <c r="F1599" s="194"/>
      <c r="G1599" s="194"/>
      <c r="H1599" s="194"/>
      <c r="I1599" s="194"/>
      <c r="J1599" s="194"/>
      <c r="K1599" s="194"/>
      <c r="L1599" s="194"/>
    </row>
    <row r="1600" spans="1:12" x14ac:dyDescent="0.3">
      <c r="A1600" s="194"/>
      <c r="B1600" s="194"/>
      <c r="C1600" s="194"/>
      <c r="D1600" s="194"/>
      <c r="E1600" s="194"/>
      <c r="F1600" s="194"/>
      <c r="G1600" s="194"/>
      <c r="H1600" s="194"/>
      <c r="I1600" s="194"/>
      <c r="J1600" s="194"/>
      <c r="K1600" s="194"/>
      <c r="L1600" s="194"/>
    </row>
    <row r="1601" spans="1:12" x14ac:dyDescent="0.3">
      <c r="A1601" s="194"/>
      <c r="B1601" s="194"/>
      <c r="C1601" s="194"/>
      <c r="D1601" s="194"/>
      <c r="E1601" s="194"/>
      <c r="F1601" s="194"/>
      <c r="G1601" s="194"/>
      <c r="H1601" s="194"/>
      <c r="I1601" s="194"/>
      <c r="J1601" s="194"/>
      <c r="K1601" s="194"/>
      <c r="L1601" s="194"/>
    </row>
    <row r="1602" spans="1:12" x14ac:dyDescent="0.3">
      <c r="A1602" s="194"/>
      <c r="B1602" s="194"/>
      <c r="C1602" s="194"/>
      <c r="D1602" s="194"/>
      <c r="E1602" s="194"/>
      <c r="F1602" s="194"/>
      <c r="G1602" s="194"/>
      <c r="H1602" s="194"/>
      <c r="I1602" s="194"/>
      <c r="J1602" s="194"/>
      <c r="K1602" s="194"/>
      <c r="L1602" s="194"/>
    </row>
    <row r="1603" spans="1:12" x14ac:dyDescent="0.3">
      <c r="A1603" s="194"/>
      <c r="B1603" s="194"/>
      <c r="C1603" s="194"/>
      <c r="D1603" s="194"/>
      <c r="E1603" s="194"/>
      <c r="F1603" s="194"/>
      <c r="G1603" s="194"/>
      <c r="H1603" s="194"/>
      <c r="I1603" s="194"/>
      <c r="J1603" s="194"/>
      <c r="K1603" s="194"/>
      <c r="L1603" s="194"/>
    </row>
    <row r="1604" spans="1:12" x14ac:dyDescent="0.3">
      <c r="A1604" s="194"/>
      <c r="B1604" s="194"/>
      <c r="C1604" s="194"/>
      <c r="D1604" s="194"/>
      <c r="E1604" s="194"/>
      <c r="F1604" s="194"/>
      <c r="G1604" s="194"/>
      <c r="H1604" s="194"/>
      <c r="I1604" s="194"/>
      <c r="J1604" s="194"/>
      <c r="K1604" s="194"/>
      <c r="L1604" s="194"/>
    </row>
    <row r="1605" spans="1:12" x14ac:dyDescent="0.3">
      <c r="A1605" s="194"/>
      <c r="B1605" s="194"/>
      <c r="C1605" s="194"/>
      <c r="D1605" s="194"/>
      <c r="E1605" s="194"/>
      <c r="F1605" s="194"/>
      <c r="G1605" s="194"/>
      <c r="H1605" s="194"/>
      <c r="I1605" s="194"/>
      <c r="J1605" s="194"/>
      <c r="K1605" s="194"/>
      <c r="L1605" s="194"/>
    </row>
    <row r="1606" spans="1:12" x14ac:dyDescent="0.3">
      <c r="A1606" s="194"/>
      <c r="B1606" s="194"/>
      <c r="C1606" s="194"/>
      <c r="D1606" s="194"/>
      <c r="E1606" s="194"/>
      <c r="F1606" s="194"/>
      <c r="G1606" s="194"/>
      <c r="H1606" s="194"/>
      <c r="I1606" s="194"/>
      <c r="J1606" s="194"/>
      <c r="K1606" s="194"/>
      <c r="L1606" s="194"/>
    </row>
    <row r="1607" spans="1:12" x14ac:dyDescent="0.3">
      <c r="A1607" s="194"/>
      <c r="B1607" s="194"/>
      <c r="C1607" s="194"/>
      <c r="D1607" s="194"/>
      <c r="E1607" s="194"/>
      <c r="F1607" s="194"/>
      <c r="G1607" s="194"/>
      <c r="H1607" s="194"/>
      <c r="I1607" s="194"/>
      <c r="J1607" s="194"/>
      <c r="K1607" s="194"/>
      <c r="L1607" s="194"/>
    </row>
    <row r="1608" spans="1:12" x14ac:dyDescent="0.3">
      <c r="A1608" s="194"/>
      <c r="B1608" s="194"/>
      <c r="C1608" s="194"/>
      <c r="D1608" s="194"/>
      <c r="E1608" s="194"/>
      <c r="F1608" s="194"/>
      <c r="G1608" s="194"/>
      <c r="H1608" s="194"/>
      <c r="I1608" s="194"/>
      <c r="J1608" s="194"/>
      <c r="K1608" s="194"/>
      <c r="L1608" s="194"/>
    </row>
    <row r="1609" spans="1:12" x14ac:dyDescent="0.3">
      <c r="A1609" s="194"/>
      <c r="B1609" s="194"/>
      <c r="C1609" s="194"/>
      <c r="D1609" s="194"/>
      <c r="E1609" s="194"/>
      <c r="F1609" s="194"/>
      <c r="G1609" s="194"/>
      <c r="H1609" s="194"/>
      <c r="I1609" s="194"/>
      <c r="J1609" s="194"/>
      <c r="K1609" s="194"/>
      <c r="L1609" s="194"/>
    </row>
    <row r="1610" spans="1:12" x14ac:dyDescent="0.3">
      <c r="A1610" s="194"/>
      <c r="B1610" s="194"/>
      <c r="C1610" s="194"/>
      <c r="D1610" s="194"/>
      <c r="E1610" s="194"/>
      <c r="F1610" s="194"/>
      <c r="G1610" s="194"/>
      <c r="H1610" s="194"/>
      <c r="I1610" s="194"/>
      <c r="J1610" s="194"/>
      <c r="K1610" s="194"/>
      <c r="L1610" s="194"/>
    </row>
    <row r="1611" spans="1:12" x14ac:dyDescent="0.3">
      <c r="A1611" s="194"/>
      <c r="B1611" s="194"/>
      <c r="C1611" s="194"/>
      <c r="D1611" s="194"/>
      <c r="E1611" s="194"/>
      <c r="F1611" s="194"/>
      <c r="G1611" s="194"/>
      <c r="H1611" s="194"/>
      <c r="I1611" s="194"/>
      <c r="J1611" s="194"/>
      <c r="K1611" s="194"/>
      <c r="L1611" s="194"/>
    </row>
    <row r="1612" spans="1:12" x14ac:dyDescent="0.3">
      <c r="A1612" s="194"/>
      <c r="B1612" s="194"/>
      <c r="C1612" s="194"/>
      <c r="D1612" s="194"/>
      <c r="E1612" s="194"/>
      <c r="F1612" s="194"/>
      <c r="G1612" s="194"/>
      <c r="H1612" s="194"/>
      <c r="I1612" s="194"/>
      <c r="J1612" s="194"/>
      <c r="K1612" s="194"/>
      <c r="L1612" s="194"/>
    </row>
    <row r="1613" spans="1:12" x14ac:dyDescent="0.3">
      <c r="A1613" s="194"/>
      <c r="B1613" s="194"/>
      <c r="C1613" s="194"/>
      <c r="D1613" s="194"/>
      <c r="E1613" s="194"/>
      <c r="F1613" s="194"/>
      <c r="G1613" s="194"/>
      <c r="H1613" s="194"/>
      <c r="I1613" s="194"/>
      <c r="J1613" s="194"/>
      <c r="K1613" s="194"/>
      <c r="L1613" s="194"/>
    </row>
    <row r="1614" spans="1:12" x14ac:dyDescent="0.3">
      <c r="A1614" s="194"/>
      <c r="B1614" s="194"/>
      <c r="C1614" s="194"/>
      <c r="D1614" s="194"/>
      <c r="E1614" s="194"/>
      <c r="F1614" s="194"/>
      <c r="G1614" s="194"/>
      <c r="H1614" s="194"/>
      <c r="I1614" s="194"/>
      <c r="J1614" s="194"/>
      <c r="K1614" s="194"/>
      <c r="L1614" s="194"/>
    </row>
    <row r="1615" spans="1:12" x14ac:dyDescent="0.3">
      <c r="A1615" s="194"/>
      <c r="B1615" s="194"/>
      <c r="C1615" s="194"/>
      <c r="D1615" s="194"/>
      <c r="E1615" s="194"/>
      <c r="F1615" s="194"/>
      <c r="G1615" s="194"/>
      <c r="H1615" s="194"/>
      <c r="I1615" s="194"/>
      <c r="J1615" s="194"/>
      <c r="K1615" s="194"/>
      <c r="L1615" s="194"/>
    </row>
    <row r="1616" spans="1:12" x14ac:dyDescent="0.3">
      <c r="A1616" s="194"/>
      <c r="B1616" s="194"/>
      <c r="C1616" s="194"/>
      <c r="D1616" s="194"/>
      <c r="E1616" s="194"/>
      <c r="F1616" s="194"/>
      <c r="G1616" s="194"/>
      <c r="H1616" s="194"/>
      <c r="I1616" s="194"/>
      <c r="J1616" s="194"/>
      <c r="K1616" s="194"/>
      <c r="L1616" s="194"/>
    </row>
    <row r="1617" spans="1:12" x14ac:dyDescent="0.3">
      <c r="A1617" s="194"/>
      <c r="B1617" s="194"/>
      <c r="C1617" s="194"/>
      <c r="D1617" s="194"/>
      <c r="E1617" s="194"/>
      <c r="F1617" s="194"/>
      <c r="G1617" s="194"/>
      <c r="H1617" s="194"/>
      <c r="I1617" s="194"/>
      <c r="J1617" s="194"/>
      <c r="K1617" s="194"/>
      <c r="L1617" s="194"/>
    </row>
    <row r="1618" spans="1:12" x14ac:dyDescent="0.3">
      <c r="A1618" s="194"/>
      <c r="B1618" s="194"/>
      <c r="C1618" s="194"/>
      <c r="D1618" s="194"/>
      <c r="E1618" s="194"/>
      <c r="F1618" s="194"/>
      <c r="G1618" s="194"/>
      <c r="H1618" s="194"/>
      <c r="I1618" s="194"/>
      <c r="J1618" s="194"/>
      <c r="K1618" s="194"/>
      <c r="L1618" s="194"/>
    </row>
    <row r="1619" spans="1:12" x14ac:dyDescent="0.3">
      <c r="A1619" s="194"/>
      <c r="B1619" s="194"/>
      <c r="C1619" s="194"/>
      <c r="D1619" s="194"/>
      <c r="E1619" s="194"/>
      <c r="F1619" s="194"/>
      <c r="G1619" s="194"/>
      <c r="H1619" s="194"/>
      <c r="I1619" s="194"/>
      <c r="J1619" s="194"/>
      <c r="K1619" s="194"/>
      <c r="L1619" s="194"/>
    </row>
    <row r="1620" spans="1:12" x14ac:dyDescent="0.3">
      <c r="A1620" s="194"/>
      <c r="B1620" s="194"/>
      <c r="C1620" s="194"/>
      <c r="D1620" s="194"/>
      <c r="E1620" s="194"/>
      <c r="F1620" s="194"/>
      <c r="G1620" s="194"/>
      <c r="H1620" s="194"/>
      <c r="I1620" s="194"/>
      <c r="J1620" s="194"/>
      <c r="K1620" s="194"/>
      <c r="L1620" s="194"/>
    </row>
    <row r="1621" spans="1:12" x14ac:dyDescent="0.3">
      <c r="A1621" s="194"/>
      <c r="B1621" s="194"/>
      <c r="C1621" s="194"/>
      <c r="D1621" s="194"/>
      <c r="E1621" s="194"/>
      <c r="F1621" s="194"/>
      <c r="G1621" s="194"/>
      <c r="H1621" s="194"/>
      <c r="I1621" s="194"/>
      <c r="J1621" s="194"/>
      <c r="K1621" s="194"/>
      <c r="L1621" s="194"/>
    </row>
    <row r="1622" spans="1:12" x14ac:dyDescent="0.3">
      <c r="A1622" s="194"/>
      <c r="B1622" s="194"/>
      <c r="C1622" s="194"/>
      <c r="D1622" s="194"/>
      <c r="E1622" s="194"/>
      <c r="F1622" s="194"/>
      <c r="G1622" s="194"/>
      <c r="H1622" s="194"/>
      <c r="I1622" s="194"/>
      <c r="J1622" s="194"/>
      <c r="K1622" s="194"/>
      <c r="L1622" s="194"/>
    </row>
    <row r="1623" spans="1:12" x14ac:dyDescent="0.3">
      <c r="A1623" s="194"/>
      <c r="B1623" s="194"/>
      <c r="C1623" s="194"/>
      <c r="D1623" s="194"/>
      <c r="E1623" s="194"/>
      <c r="F1623" s="194"/>
      <c r="G1623" s="194"/>
      <c r="H1623" s="194"/>
      <c r="I1623" s="194"/>
      <c r="J1623" s="194"/>
      <c r="K1623" s="194"/>
      <c r="L1623" s="194"/>
    </row>
    <row r="1624" spans="1:12" x14ac:dyDescent="0.3">
      <c r="A1624" s="194"/>
      <c r="B1624" s="194"/>
      <c r="C1624" s="194"/>
      <c r="D1624" s="194"/>
      <c r="E1624" s="194"/>
      <c r="F1624" s="194"/>
      <c r="G1624" s="194"/>
      <c r="H1624" s="194"/>
      <c r="I1624" s="194"/>
      <c r="J1624" s="194"/>
      <c r="K1624" s="194"/>
      <c r="L1624" s="194"/>
    </row>
    <row r="1625" spans="1:12" x14ac:dyDescent="0.3">
      <c r="A1625" s="194"/>
      <c r="B1625" s="194"/>
      <c r="C1625" s="194"/>
      <c r="D1625" s="194"/>
      <c r="E1625" s="194"/>
      <c r="F1625" s="194"/>
      <c r="G1625" s="194"/>
      <c r="H1625" s="194"/>
      <c r="I1625" s="194"/>
      <c r="J1625" s="194"/>
      <c r="K1625" s="194"/>
      <c r="L1625" s="194"/>
    </row>
    <row r="1626" spans="1:12" x14ac:dyDescent="0.3">
      <c r="A1626" s="194"/>
      <c r="B1626" s="194"/>
      <c r="C1626" s="194"/>
      <c r="D1626" s="194"/>
      <c r="E1626" s="194"/>
      <c r="F1626" s="194"/>
      <c r="G1626" s="194"/>
      <c r="H1626" s="194"/>
      <c r="I1626" s="194"/>
      <c r="J1626" s="194"/>
      <c r="K1626" s="194"/>
      <c r="L1626" s="194"/>
    </row>
    <row r="1627" spans="1:12" x14ac:dyDescent="0.3">
      <c r="A1627" s="194"/>
      <c r="B1627" s="194"/>
      <c r="C1627" s="194"/>
      <c r="D1627" s="194"/>
      <c r="E1627" s="194"/>
      <c r="F1627" s="194"/>
      <c r="G1627" s="194"/>
      <c r="H1627" s="194"/>
      <c r="I1627" s="194"/>
      <c r="J1627" s="194"/>
      <c r="K1627" s="194"/>
      <c r="L1627" s="194"/>
    </row>
    <row r="1628" spans="1:12" x14ac:dyDescent="0.3">
      <c r="A1628" s="194"/>
      <c r="B1628" s="194"/>
      <c r="C1628" s="194"/>
      <c r="D1628" s="194"/>
      <c r="E1628" s="194"/>
      <c r="F1628" s="194"/>
      <c r="G1628" s="194"/>
      <c r="H1628" s="194"/>
      <c r="I1628" s="194"/>
      <c r="J1628" s="194"/>
      <c r="K1628" s="194"/>
      <c r="L1628" s="194"/>
    </row>
    <row r="1629" spans="1:12" x14ac:dyDescent="0.3">
      <c r="A1629" s="194"/>
      <c r="B1629" s="194"/>
      <c r="C1629" s="194"/>
      <c r="D1629" s="194"/>
      <c r="E1629" s="194"/>
      <c r="F1629" s="194"/>
      <c r="G1629" s="194"/>
      <c r="H1629" s="194"/>
      <c r="I1629" s="194"/>
      <c r="J1629" s="194"/>
      <c r="K1629" s="194"/>
      <c r="L1629" s="194"/>
    </row>
    <row r="1630" spans="1:12" x14ac:dyDescent="0.3">
      <c r="A1630" s="194"/>
      <c r="B1630" s="194"/>
      <c r="C1630" s="194"/>
      <c r="D1630" s="194"/>
      <c r="E1630" s="194"/>
      <c r="F1630" s="194"/>
      <c r="G1630" s="194"/>
      <c r="H1630" s="194"/>
      <c r="I1630" s="194"/>
      <c r="J1630" s="194"/>
      <c r="K1630" s="194"/>
      <c r="L1630" s="194"/>
    </row>
    <row r="1631" spans="1:12" x14ac:dyDescent="0.3">
      <c r="A1631" s="194"/>
      <c r="B1631" s="194"/>
      <c r="C1631" s="194"/>
      <c r="D1631" s="194"/>
      <c r="E1631" s="194"/>
      <c r="F1631" s="194"/>
      <c r="G1631" s="194"/>
      <c r="H1631" s="194"/>
      <c r="I1631" s="194"/>
      <c r="J1631" s="194"/>
      <c r="K1631" s="194"/>
      <c r="L1631" s="194"/>
    </row>
    <row r="1632" spans="1:12" x14ac:dyDescent="0.3">
      <c r="A1632" s="194"/>
      <c r="B1632" s="194"/>
      <c r="C1632" s="194"/>
      <c r="D1632" s="194"/>
      <c r="E1632" s="194"/>
      <c r="F1632" s="194"/>
      <c r="G1632" s="194"/>
      <c r="H1632" s="194"/>
      <c r="I1632" s="194"/>
      <c r="J1632" s="194"/>
      <c r="K1632" s="194"/>
      <c r="L1632" s="194"/>
    </row>
    <row r="1633" spans="1:12" x14ac:dyDescent="0.3">
      <c r="A1633" s="194"/>
      <c r="B1633" s="194"/>
      <c r="C1633" s="194"/>
      <c r="D1633" s="194"/>
      <c r="E1633" s="194"/>
      <c r="F1633" s="194"/>
      <c r="G1633" s="194"/>
      <c r="H1633" s="194"/>
      <c r="I1633" s="194"/>
      <c r="J1633" s="194"/>
      <c r="K1633" s="194"/>
      <c r="L1633" s="194"/>
    </row>
    <row r="1634" spans="1:12" x14ac:dyDescent="0.3">
      <c r="A1634" s="194"/>
      <c r="B1634" s="194"/>
      <c r="C1634" s="194"/>
      <c r="D1634" s="194"/>
      <c r="E1634" s="194"/>
      <c r="F1634" s="194"/>
      <c r="G1634" s="194"/>
      <c r="H1634" s="194"/>
      <c r="I1634" s="194"/>
      <c r="J1634" s="194"/>
      <c r="K1634" s="194"/>
      <c r="L1634" s="194"/>
    </row>
    <row r="1635" spans="1:12" x14ac:dyDescent="0.3">
      <c r="A1635" s="194"/>
      <c r="B1635" s="194"/>
      <c r="C1635" s="194"/>
      <c r="D1635" s="194"/>
      <c r="E1635" s="194"/>
      <c r="F1635" s="194"/>
      <c r="G1635" s="194"/>
      <c r="H1635" s="194"/>
      <c r="I1635" s="194"/>
      <c r="J1635" s="194"/>
      <c r="K1635" s="194"/>
      <c r="L1635" s="194"/>
    </row>
    <row r="1636" spans="1:12" x14ac:dyDescent="0.3">
      <c r="A1636" s="194"/>
      <c r="B1636" s="194"/>
      <c r="C1636" s="194"/>
      <c r="D1636" s="194"/>
      <c r="E1636" s="194"/>
      <c r="F1636" s="194"/>
      <c r="G1636" s="194"/>
      <c r="H1636" s="194"/>
      <c r="I1636" s="194"/>
      <c r="J1636" s="194"/>
      <c r="K1636" s="194"/>
      <c r="L1636" s="194"/>
    </row>
    <row r="1637" spans="1:12" x14ac:dyDescent="0.3">
      <c r="A1637" s="194"/>
      <c r="B1637" s="194"/>
      <c r="C1637" s="194"/>
      <c r="D1637" s="194"/>
      <c r="E1637" s="194"/>
      <c r="F1637" s="194"/>
      <c r="G1637" s="194"/>
      <c r="H1637" s="194"/>
      <c r="I1637" s="194"/>
      <c r="J1637" s="194"/>
      <c r="K1637" s="194"/>
      <c r="L1637" s="194"/>
    </row>
    <row r="1638" spans="1:12" x14ac:dyDescent="0.3">
      <c r="A1638" s="194"/>
      <c r="B1638" s="194"/>
      <c r="C1638" s="194"/>
      <c r="D1638" s="194"/>
      <c r="E1638" s="194"/>
      <c r="F1638" s="194"/>
      <c r="G1638" s="194"/>
      <c r="H1638" s="194"/>
      <c r="I1638" s="194"/>
      <c r="J1638" s="194"/>
      <c r="K1638" s="194"/>
      <c r="L1638" s="194"/>
    </row>
    <row r="1639" spans="1:12" x14ac:dyDescent="0.3">
      <c r="A1639" s="194"/>
      <c r="B1639" s="194"/>
      <c r="C1639" s="194"/>
      <c r="D1639" s="194"/>
      <c r="E1639" s="194"/>
      <c r="F1639" s="194"/>
      <c r="G1639" s="194"/>
      <c r="H1639" s="194"/>
      <c r="I1639" s="194"/>
      <c r="J1639" s="194"/>
      <c r="K1639" s="194"/>
      <c r="L1639" s="194"/>
    </row>
    <row r="1640" spans="1:12" x14ac:dyDescent="0.3">
      <c r="A1640" s="194"/>
      <c r="B1640" s="194"/>
      <c r="C1640" s="194"/>
      <c r="D1640" s="194"/>
      <c r="E1640" s="194"/>
      <c r="F1640" s="194"/>
      <c r="G1640" s="194"/>
      <c r="H1640" s="194"/>
      <c r="I1640" s="194"/>
      <c r="J1640" s="194"/>
      <c r="K1640" s="194"/>
      <c r="L1640" s="194"/>
    </row>
    <row r="1641" spans="1:12" x14ac:dyDescent="0.3">
      <c r="A1641" s="194"/>
      <c r="B1641" s="194"/>
      <c r="C1641" s="194"/>
      <c r="D1641" s="194"/>
      <c r="E1641" s="194"/>
      <c r="F1641" s="194"/>
      <c r="G1641" s="194"/>
      <c r="H1641" s="194"/>
      <c r="I1641" s="194"/>
      <c r="J1641" s="194"/>
      <c r="K1641" s="194"/>
      <c r="L1641" s="194"/>
    </row>
    <row r="1642" spans="1:12" x14ac:dyDescent="0.3">
      <c r="A1642" s="194"/>
      <c r="B1642" s="194"/>
      <c r="C1642" s="194"/>
      <c r="D1642" s="194"/>
      <c r="E1642" s="194"/>
      <c r="F1642" s="194"/>
      <c r="G1642" s="194"/>
      <c r="H1642" s="194"/>
      <c r="I1642" s="194"/>
      <c r="J1642" s="194"/>
      <c r="K1642" s="194"/>
      <c r="L1642" s="194"/>
    </row>
    <row r="1643" spans="1:12" x14ac:dyDescent="0.3">
      <c r="A1643" s="194"/>
      <c r="B1643" s="194"/>
      <c r="C1643" s="194"/>
      <c r="D1643" s="194"/>
      <c r="E1643" s="194"/>
      <c r="F1643" s="194"/>
      <c r="G1643" s="194"/>
      <c r="H1643" s="194"/>
      <c r="I1643" s="194"/>
      <c r="J1643" s="194"/>
      <c r="K1643" s="194"/>
      <c r="L1643" s="194"/>
    </row>
    <row r="1644" spans="1:12" x14ac:dyDescent="0.3">
      <c r="A1644" s="194"/>
      <c r="B1644" s="194"/>
      <c r="C1644" s="194"/>
      <c r="D1644" s="194"/>
      <c r="E1644" s="194"/>
      <c r="F1644" s="194"/>
      <c r="G1644" s="194"/>
      <c r="H1644" s="194"/>
      <c r="I1644" s="194"/>
      <c r="J1644" s="194"/>
      <c r="K1644" s="194"/>
      <c r="L1644" s="194"/>
    </row>
    <row r="1645" spans="1:12" x14ac:dyDescent="0.3">
      <c r="A1645" s="194"/>
      <c r="B1645" s="194"/>
      <c r="C1645" s="194"/>
      <c r="D1645" s="194"/>
      <c r="E1645" s="194"/>
      <c r="F1645" s="194"/>
      <c r="G1645" s="194"/>
      <c r="H1645" s="194"/>
      <c r="I1645" s="194"/>
      <c r="J1645" s="194"/>
      <c r="K1645" s="194"/>
      <c r="L1645" s="194"/>
    </row>
    <row r="1646" spans="1:12" x14ac:dyDescent="0.3">
      <c r="A1646" s="194"/>
      <c r="B1646" s="194"/>
      <c r="C1646" s="194"/>
      <c r="D1646" s="194"/>
      <c r="E1646" s="194"/>
      <c r="F1646" s="194"/>
      <c r="G1646" s="194"/>
      <c r="H1646" s="194"/>
      <c r="I1646" s="194"/>
      <c r="J1646" s="194"/>
      <c r="K1646" s="194"/>
      <c r="L1646" s="194"/>
    </row>
    <row r="1647" spans="1:12" x14ac:dyDescent="0.3">
      <c r="A1647" s="194"/>
      <c r="B1647" s="194"/>
      <c r="C1647" s="194"/>
      <c r="D1647" s="194"/>
      <c r="E1647" s="194"/>
      <c r="F1647" s="194"/>
      <c r="G1647" s="194"/>
      <c r="H1647" s="194"/>
      <c r="I1647" s="194"/>
      <c r="J1647" s="194"/>
      <c r="K1647" s="194"/>
      <c r="L1647" s="194"/>
    </row>
    <row r="1648" spans="1:12" x14ac:dyDescent="0.3">
      <c r="A1648" s="194"/>
      <c r="B1648" s="194"/>
      <c r="C1648" s="194"/>
      <c r="D1648" s="194"/>
      <c r="E1648" s="194"/>
      <c r="F1648" s="194"/>
      <c r="G1648" s="194"/>
      <c r="H1648" s="194"/>
      <c r="I1648" s="194"/>
      <c r="J1648" s="194"/>
      <c r="K1648" s="194"/>
      <c r="L1648" s="194"/>
    </row>
    <row r="1649" spans="1:12" x14ac:dyDescent="0.3">
      <c r="A1649" s="194"/>
      <c r="B1649" s="194"/>
      <c r="C1649" s="194"/>
      <c r="D1649" s="194"/>
      <c r="E1649" s="194"/>
      <c r="F1649" s="194"/>
      <c r="G1649" s="194"/>
      <c r="H1649" s="194"/>
      <c r="I1649" s="194"/>
      <c r="J1649" s="194"/>
      <c r="K1649" s="194"/>
      <c r="L1649" s="194"/>
    </row>
    <row r="1650" spans="1:12" x14ac:dyDescent="0.3">
      <c r="A1650" s="194"/>
      <c r="B1650" s="194"/>
      <c r="C1650" s="194"/>
      <c r="D1650" s="194"/>
      <c r="E1650" s="194"/>
      <c r="F1650" s="194"/>
      <c r="G1650" s="194"/>
      <c r="H1650" s="194"/>
      <c r="I1650" s="194"/>
      <c r="J1650" s="194"/>
      <c r="K1650" s="194"/>
      <c r="L1650" s="194"/>
    </row>
    <row r="1651" spans="1:12" x14ac:dyDescent="0.3">
      <c r="A1651" s="194"/>
      <c r="B1651" s="194"/>
      <c r="C1651" s="194"/>
      <c r="D1651" s="194"/>
      <c r="E1651" s="194"/>
      <c r="F1651" s="194"/>
      <c r="G1651" s="194"/>
      <c r="H1651" s="194"/>
      <c r="I1651" s="194"/>
      <c r="J1651" s="194"/>
      <c r="K1651" s="194"/>
      <c r="L1651" s="194"/>
    </row>
    <row r="1652" spans="1:12" x14ac:dyDescent="0.3">
      <c r="A1652" s="194"/>
      <c r="B1652" s="194"/>
      <c r="C1652" s="194"/>
      <c r="D1652" s="194"/>
      <c r="E1652" s="194"/>
      <c r="F1652" s="194"/>
      <c r="G1652" s="194"/>
      <c r="H1652" s="194"/>
      <c r="I1652" s="194"/>
      <c r="J1652" s="194"/>
      <c r="K1652" s="194"/>
      <c r="L1652" s="194"/>
    </row>
    <row r="1653" spans="1:12" x14ac:dyDescent="0.3">
      <c r="A1653" s="194"/>
      <c r="B1653" s="194"/>
      <c r="C1653" s="194"/>
      <c r="D1653" s="194"/>
      <c r="E1653" s="194"/>
      <c r="F1653" s="194"/>
      <c r="G1653" s="194"/>
      <c r="H1653" s="194"/>
      <c r="I1653" s="194"/>
      <c r="J1653" s="194"/>
      <c r="K1653" s="194"/>
      <c r="L1653" s="194"/>
    </row>
    <row r="1654" spans="1:12" x14ac:dyDescent="0.3">
      <c r="A1654" s="194"/>
      <c r="B1654" s="194"/>
      <c r="C1654" s="194"/>
      <c r="D1654" s="194"/>
      <c r="E1654" s="194"/>
      <c r="F1654" s="194"/>
      <c r="G1654" s="194"/>
      <c r="H1654" s="194"/>
      <c r="I1654" s="194"/>
      <c r="J1654" s="194"/>
      <c r="K1654" s="194"/>
      <c r="L1654" s="194"/>
    </row>
    <row r="1655" spans="1:12" x14ac:dyDescent="0.3">
      <c r="A1655" s="194"/>
      <c r="B1655" s="194"/>
      <c r="C1655" s="194"/>
      <c r="D1655" s="194"/>
      <c r="E1655" s="194"/>
      <c r="F1655" s="194"/>
      <c r="G1655" s="194"/>
      <c r="H1655" s="194"/>
      <c r="I1655" s="194"/>
      <c r="J1655" s="194"/>
      <c r="K1655" s="194"/>
      <c r="L1655" s="194"/>
    </row>
    <row r="1656" spans="1:12" x14ac:dyDescent="0.3">
      <c r="A1656" s="194"/>
      <c r="B1656" s="194"/>
      <c r="C1656" s="194"/>
      <c r="D1656" s="194"/>
      <c r="E1656" s="194"/>
      <c r="F1656" s="194"/>
      <c r="G1656" s="194"/>
      <c r="H1656" s="194"/>
      <c r="I1656" s="194"/>
      <c r="J1656" s="194"/>
      <c r="K1656" s="194"/>
      <c r="L1656" s="194"/>
    </row>
    <row r="1657" spans="1:12" x14ac:dyDescent="0.3">
      <c r="A1657" s="194"/>
      <c r="B1657" s="194"/>
      <c r="C1657" s="194"/>
      <c r="D1657" s="194"/>
      <c r="E1657" s="194"/>
      <c r="F1657" s="194"/>
      <c r="G1657" s="194"/>
      <c r="H1657" s="194"/>
      <c r="I1657" s="194"/>
      <c r="J1657" s="194"/>
      <c r="K1657" s="194"/>
      <c r="L1657" s="194"/>
    </row>
    <row r="1658" spans="1:12" x14ac:dyDescent="0.3">
      <c r="A1658" s="194"/>
      <c r="B1658" s="194"/>
      <c r="C1658" s="194"/>
      <c r="D1658" s="194"/>
      <c r="E1658" s="194"/>
      <c r="F1658" s="194"/>
      <c r="G1658" s="194"/>
      <c r="H1658" s="194"/>
      <c r="I1658" s="194"/>
      <c r="J1658" s="194"/>
      <c r="K1658" s="194"/>
      <c r="L1658" s="194"/>
    </row>
    <row r="1659" spans="1:12" x14ac:dyDescent="0.3">
      <c r="A1659" s="194"/>
      <c r="B1659" s="194"/>
      <c r="C1659" s="194"/>
      <c r="D1659" s="194"/>
      <c r="E1659" s="194"/>
      <c r="F1659" s="194"/>
      <c r="G1659" s="194"/>
      <c r="H1659" s="194"/>
      <c r="I1659" s="194"/>
      <c r="J1659" s="194"/>
      <c r="K1659" s="194"/>
      <c r="L1659" s="194"/>
    </row>
    <row r="1660" spans="1:12" x14ac:dyDescent="0.3">
      <c r="A1660" s="194"/>
      <c r="B1660" s="194"/>
      <c r="C1660" s="194"/>
      <c r="D1660" s="194"/>
      <c r="E1660" s="194"/>
      <c r="F1660" s="194"/>
      <c r="G1660" s="194"/>
      <c r="H1660" s="194"/>
      <c r="I1660" s="194"/>
      <c r="J1660" s="194"/>
      <c r="K1660" s="194"/>
      <c r="L1660" s="194"/>
    </row>
    <row r="1661" spans="1:12" x14ac:dyDescent="0.3">
      <c r="A1661" s="194"/>
      <c r="B1661" s="194"/>
      <c r="C1661" s="194"/>
      <c r="D1661" s="194"/>
      <c r="E1661" s="194"/>
      <c r="F1661" s="194"/>
      <c r="G1661" s="194"/>
      <c r="H1661" s="194"/>
      <c r="I1661" s="194"/>
      <c r="J1661" s="194"/>
      <c r="K1661" s="194"/>
      <c r="L1661" s="194"/>
    </row>
    <row r="1662" spans="1:12" x14ac:dyDescent="0.3">
      <c r="A1662" s="194"/>
      <c r="B1662" s="194"/>
      <c r="C1662" s="194"/>
      <c r="D1662" s="194"/>
      <c r="E1662" s="194"/>
      <c r="F1662" s="194"/>
      <c r="G1662" s="194"/>
      <c r="H1662" s="194"/>
      <c r="I1662" s="194"/>
      <c r="J1662" s="194"/>
      <c r="K1662" s="194"/>
      <c r="L1662" s="194"/>
    </row>
    <row r="1663" spans="1:12" x14ac:dyDescent="0.3">
      <c r="A1663" s="194"/>
      <c r="B1663" s="194"/>
      <c r="C1663" s="194"/>
      <c r="D1663" s="194"/>
      <c r="E1663" s="194"/>
      <c r="F1663" s="194"/>
      <c r="G1663" s="194"/>
      <c r="H1663" s="194"/>
      <c r="I1663" s="194"/>
      <c r="J1663" s="194"/>
      <c r="K1663" s="194"/>
      <c r="L1663" s="194"/>
    </row>
    <row r="1664" spans="1:12" x14ac:dyDescent="0.3">
      <c r="A1664" s="194"/>
      <c r="B1664" s="194"/>
      <c r="C1664" s="194"/>
      <c r="D1664" s="194"/>
      <c r="E1664" s="194"/>
      <c r="F1664" s="194"/>
      <c r="G1664" s="194"/>
      <c r="H1664" s="194"/>
      <c r="I1664" s="194"/>
      <c r="J1664" s="194"/>
      <c r="K1664" s="194"/>
      <c r="L1664" s="194"/>
    </row>
    <row r="1665" spans="1:12" x14ac:dyDescent="0.3">
      <c r="A1665" s="194"/>
      <c r="B1665" s="194"/>
      <c r="C1665" s="194"/>
      <c r="D1665" s="194"/>
      <c r="E1665" s="194"/>
      <c r="F1665" s="194"/>
      <c r="G1665" s="194"/>
      <c r="H1665" s="194"/>
      <c r="I1665" s="194"/>
      <c r="J1665" s="194"/>
      <c r="K1665" s="194"/>
      <c r="L1665" s="194"/>
    </row>
    <row r="1666" spans="1:12" x14ac:dyDescent="0.3">
      <c r="A1666" s="194"/>
      <c r="B1666" s="194"/>
      <c r="C1666" s="194"/>
      <c r="D1666" s="194"/>
      <c r="E1666" s="194"/>
      <c r="F1666" s="194"/>
      <c r="G1666" s="194"/>
      <c r="H1666" s="194"/>
      <c r="I1666" s="194"/>
      <c r="J1666" s="194"/>
      <c r="K1666" s="194"/>
      <c r="L1666" s="194"/>
    </row>
    <row r="1667" spans="1:12" x14ac:dyDescent="0.3">
      <c r="A1667" s="194"/>
      <c r="B1667" s="194"/>
      <c r="C1667" s="194"/>
      <c r="D1667" s="194"/>
      <c r="E1667" s="194"/>
      <c r="F1667" s="194"/>
      <c r="G1667" s="194"/>
      <c r="H1667" s="194"/>
      <c r="I1667" s="194"/>
      <c r="J1667" s="194"/>
      <c r="K1667" s="194"/>
      <c r="L1667" s="194"/>
    </row>
    <row r="1668" spans="1:12" x14ac:dyDescent="0.3">
      <c r="A1668" s="194"/>
      <c r="B1668" s="194"/>
      <c r="C1668" s="194"/>
      <c r="D1668" s="194"/>
      <c r="E1668" s="194"/>
      <c r="F1668" s="194"/>
      <c r="G1668" s="194"/>
      <c r="H1668" s="194"/>
      <c r="I1668" s="194"/>
      <c r="J1668" s="194"/>
      <c r="K1668" s="194"/>
      <c r="L1668" s="194"/>
    </row>
    <row r="1669" spans="1:12" x14ac:dyDescent="0.3">
      <c r="A1669" s="194"/>
      <c r="B1669" s="194"/>
      <c r="C1669" s="194"/>
      <c r="D1669" s="194"/>
      <c r="E1669" s="194"/>
      <c r="F1669" s="194"/>
      <c r="G1669" s="194"/>
      <c r="H1669" s="194"/>
      <c r="I1669" s="194"/>
      <c r="J1669" s="194"/>
      <c r="K1669" s="194"/>
      <c r="L1669" s="194"/>
    </row>
    <row r="1670" spans="1:12" x14ac:dyDescent="0.3">
      <c r="A1670" s="194"/>
      <c r="B1670" s="194"/>
      <c r="C1670" s="194"/>
      <c r="D1670" s="194"/>
      <c r="E1670" s="194"/>
      <c r="F1670" s="194"/>
      <c r="G1670" s="194"/>
      <c r="H1670" s="194"/>
      <c r="I1670" s="194"/>
      <c r="J1670" s="194"/>
      <c r="K1670" s="194"/>
      <c r="L1670" s="194"/>
    </row>
    <row r="1671" spans="1:12" x14ac:dyDescent="0.3">
      <c r="A1671" s="194"/>
      <c r="B1671" s="194"/>
      <c r="C1671" s="194"/>
      <c r="D1671" s="194"/>
      <c r="E1671" s="194"/>
      <c r="F1671" s="194"/>
      <c r="G1671" s="194"/>
      <c r="H1671" s="194"/>
      <c r="I1671" s="194"/>
      <c r="J1671" s="194"/>
      <c r="K1671" s="194"/>
      <c r="L1671" s="194"/>
    </row>
    <row r="1672" spans="1:12" x14ac:dyDescent="0.3">
      <c r="A1672" s="194"/>
      <c r="B1672" s="194"/>
      <c r="C1672" s="194"/>
      <c r="D1672" s="194"/>
      <c r="E1672" s="194"/>
      <c r="F1672" s="194"/>
      <c r="G1672" s="194"/>
      <c r="H1672" s="194"/>
      <c r="I1672" s="194"/>
      <c r="J1672" s="194"/>
      <c r="K1672" s="194"/>
      <c r="L1672" s="194"/>
    </row>
    <row r="1673" spans="1:12" x14ac:dyDescent="0.3">
      <c r="A1673" s="194"/>
      <c r="B1673" s="194"/>
      <c r="C1673" s="194"/>
      <c r="D1673" s="194"/>
      <c r="E1673" s="194"/>
      <c r="F1673" s="194"/>
      <c r="G1673" s="194"/>
      <c r="H1673" s="194"/>
      <c r="I1673" s="194"/>
      <c r="J1673" s="194"/>
      <c r="K1673" s="194"/>
      <c r="L1673" s="194"/>
    </row>
    <row r="1674" spans="1:12" x14ac:dyDescent="0.3">
      <c r="A1674" s="194"/>
      <c r="B1674" s="194"/>
      <c r="C1674" s="194"/>
      <c r="D1674" s="194"/>
      <c r="E1674" s="194"/>
      <c r="F1674" s="194"/>
      <c r="G1674" s="194"/>
      <c r="H1674" s="194"/>
      <c r="I1674" s="194"/>
      <c r="J1674" s="194"/>
      <c r="K1674" s="194"/>
      <c r="L1674" s="194"/>
    </row>
    <row r="1675" spans="1:12" x14ac:dyDescent="0.3">
      <c r="A1675" s="194"/>
      <c r="B1675" s="194"/>
      <c r="C1675" s="194"/>
      <c r="D1675" s="194"/>
      <c r="E1675" s="194"/>
      <c r="F1675" s="194"/>
      <c r="G1675" s="194"/>
      <c r="H1675" s="194"/>
      <c r="I1675" s="194"/>
      <c r="J1675" s="194"/>
      <c r="K1675" s="194"/>
      <c r="L1675" s="194"/>
    </row>
    <row r="1676" spans="1:12" x14ac:dyDescent="0.3">
      <c r="A1676" s="194"/>
      <c r="B1676" s="194"/>
      <c r="C1676" s="194"/>
      <c r="D1676" s="194"/>
      <c r="E1676" s="194"/>
      <c r="F1676" s="194"/>
      <c r="G1676" s="194"/>
      <c r="H1676" s="194"/>
      <c r="I1676" s="194"/>
      <c r="J1676" s="194"/>
      <c r="K1676" s="194"/>
      <c r="L1676" s="194"/>
    </row>
    <row r="1677" spans="1:12" x14ac:dyDescent="0.3">
      <c r="A1677" s="194"/>
      <c r="B1677" s="194"/>
      <c r="C1677" s="194"/>
      <c r="D1677" s="194"/>
      <c r="E1677" s="194"/>
      <c r="F1677" s="194"/>
      <c r="G1677" s="194"/>
      <c r="H1677" s="194"/>
      <c r="I1677" s="194"/>
      <c r="J1677" s="194"/>
      <c r="K1677" s="194"/>
      <c r="L1677" s="194"/>
    </row>
    <row r="1678" spans="1:12" x14ac:dyDescent="0.3">
      <c r="A1678" s="194"/>
      <c r="B1678" s="194"/>
      <c r="C1678" s="194"/>
      <c r="D1678" s="194"/>
      <c r="E1678" s="194"/>
      <c r="F1678" s="194"/>
      <c r="G1678" s="194"/>
      <c r="H1678" s="194"/>
      <c r="I1678" s="194"/>
      <c r="J1678" s="194"/>
      <c r="K1678" s="194"/>
      <c r="L1678" s="194"/>
    </row>
    <row r="1679" spans="1:12" x14ac:dyDescent="0.3">
      <c r="A1679" s="194"/>
      <c r="B1679" s="194"/>
      <c r="C1679" s="194"/>
      <c r="D1679" s="194"/>
      <c r="E1679" s="194"/>
      <c r="F1679" s="194"/>
      <c r="G1679" s="194"/>
      <c r="H1679" s="194"/>
      <c r="I1679" s="194"/>
      <c r="J1679" s="194"/>
      <c r="K1679" s="194"/>
      <c r="L1679" s="194"/>
    </row>
    <row r="1680" spans="1:12" x14ac:dyDescent="0.3">
      <c r="A1680" s="194"/>
      <c r="B1680" s="194"/>
      <c r="C1680" s="194"/>
      <c r="D1680" s="194"/>
      <c r="E1680" s="194"/>
      <c r="F1680" s="194"/>
      <c r="G1680" s="194"/>
      <c r="H1680" s="194"/>
      <c r="I1680" s="194"/>
      <c r="J1680" s="194"/>
      <c r="K1680" s="194"/>
      <c r="L1680" s="194"/>
    </row>
    <row r="1681" spans="1:12" x14ac:dyDescent="0.3">
      <c r="A1681" s="194"/>
      <c r="B1681" s="194"/>
      <c r="C1681" s="194"/>
      <c r="D1681" s="194"/>
      <c r="E1681" s="194"/>
      <c r="F1681" s="194"/>
      <c r="G1681" s="194"/>
      <c r="H1681" s="194"/>
      <c r="I1681" s="194"/>
      <c r="J1681" s="194"/>
      <c r="K1681" s="194"/>
      <c r="L1681" s="194"/>
    </row>
    <row r="1682" spans="1:12" x14ac:dyDescent="0.3">
      <c r="A1682" s="194"/>
      <c r="B1682" s="194"/>
      <c r="C1682" s="194"/>
      <c r="D1682" s="194"/>
      <c r="E1682" s="194"/>
      <c r="F1682" s="194"/>
      <c r="G1682" s="194"/>
      <c r="H1682" s="194"/>
      <c r="I1682" s="194"/>
      <c r="J1682" s="194"/>
      <c r="K1682" s="194"/>
      <c r="L1682" s="194"/>
    </row>
    <row r="1683" spans="1:12" x14ac:dyDescent="0.3">
      <c r="A1683" s="194"/>
      <c r="B1683" s="194"/>
      <c r="C1683" s="194"/>
      <c r="D1683" s="194"/>
      <c r="E1683" s="194"/>
      <c r="F1683" s="194"/>
      <c r="G1683" s="194"/>
      <c r="H1683" s="194"/>
      <c r="I1683" s="194"/>
      <c r="J1683" s="194"/>
      <c r="K1683" s="194"/>
      <c r="L1683" s="194"/>
    </row>
    <row r="1684" spans="1:12" x14ac:dyDescent="0.3">
      <c r="A1684" s="194"/>
      <c r="B1684" s="194"/>
      <c r="C1684" s="194"/>
      <c r="D1684" s="194"/>
      <c r="E1684" s="194"/>
      <c r="F1684" s="194"/>
      <c r="G1684" s="194"/>
      <c r="H1684" s="194"/>
      <c r="I1684" s="194"/>
      <c r="J1684" s="194"/>
      <c r="K1684" s="194"/>
      <c r="L1684" s="194"/>
    </row>
    <row r="1685" spans="1:12" x14ac:dyDescent="0.3">
      <c r="A1685" s="194"/>
      <c r="B1685" s="194"/>
      <c r="C1685" s="194"/>
      <c r="D1685" s="194"/>
      <c r="E1685" s="194"/>
      <c r="F1685" s="194"/>
      <c r="G1685" s="194"/>
      <c r="H1685" s="194"/>
      <c r="I1685" s="194"/>
      <c r="J1685" s="194"/>
      <c r="K1685" s="194"/>
      <c r="L1685" s="194"/>
    </row>
    <row r="1686" spans="1:12" x14ac:dyDescent="0.3">
      <c r="A1686" s="194"/>
      <c r="B1686" s="194"/>
      <c r="C1686" s="194"/>
      <c r="D1686" s="194"/>
      <c r="E1686" s="194"/>
      <c r="F1686" s="194"/>
      <c r="G1686" s="194"/>
      <c r="H1686" s="194"/>
      <c r="I1686" s="194"/>
      <c r="J1686" s="194"/>
      <c r="K1686" s="194"/>
      <c r="L1686" s="194"/>
    </row>
    <row r="1687" spans="1:12" x14ac:dyDescent="0.3">
      <c r="A1687" s="194"/>
      <c r="B1687" s="194"/>
      <c r="C1687" s="194"/>
      <c r="D1687" s="194"/>
      <c r="E1687" s="194"/>
      <c r="F1687" s="194"/>
      <c r="G1687" s="194"/>
      <c r="H1687" s="194"/>
      <c r="I1687" s="194"/>
      <c r="J1687" s="194"/>
      <c r="K1687" s="194"/>
      <c r="L1687" s="194"/>
    </row>
    <row r="1688" spans="1:12" x14ac:dyDescent="0.3">
      <c r="A1688" s="194"/>
      <c r="B1688" s="194"/>
      <c r="C1688" s="194"/>
      <c r="D1688" s="194"/>
      <c r="E1688" s="194"/>
      <c r="F1688" s="194"/>
      <c r="G1688" s="194"/>
      <c r="H1688" s="194"/>
      <c r="I1688" s="194"/>
      <c r="J1688" s="194"/>
      <c r="K1688" s="194"/>
      <c r="L1688" s="194"/>
    </row>
    <row r="1689" spans="1:12" x14ac:dyDescent="0.3">
      <c r="A1689" s="194"/>
      <c r="B1689" s="194"/>
      <c r="C1689" s="194"/>
      <c r="D1689" s="194"/>
      <c r="E1689" s="194"/>
      <c r="F1689" s="194"/>
      <c r="G1689" s="194"/>
      <c r="H1689" s="194"/>
      <c r="I1689" s="194"/>
      <c r="J1689" s="194"/>
      <c r="K1689" s="194"/>
      <c r="L1689" s="194"/>
    </row>
    <row r="1690" spans="1:12" x14ac:dyDescent="0.3">
      <c r="A1690" s="194"/>
      <c r="B1690" s="194"/>
      <c r="C1690" s="194"/>
      <c r="D1690" s="194"/>
      <c r="E1690" s="194"/>
      <c r="F1690" s="194"/>
      <c r="G1690" s="194"/>
      <c r="H1690" s="194"/>
      <c r="I1690" s="194"/>
      <c r="J1690" s="194"/>
      <c r="K1690" s="194"/>
      <c r="L1690" s="194"/>
    </row>
    <row r="1691" spans="1:12" x14ac:dyDescent="0.3">
      <c r="A1691" s="194"/>
      <c r="B1691" s="194"/>
      <c r="C1691" s="194"/>
      <c r="D1691" s="194"/>
      <c r="E1691" s="194"/>
      <c r="F1691" s="194"/>
      <c r="G1691" s="194"/>
      <c r="H1691" s="194"/>
      <c r="I1691" s="194"/>
      <c r="J1691" s="194"/>
      <c r="K1691" s="194"/>
      <c r="L1691" s="194"/>
    </row>
    <row r="1692" spans="1:12" x14ac:dyDescent="0.3">
      <c r="A1692" s="194"/>
      <c r="B1692" s="194"/>
      <c r="C1692" s="194"/>
      <c r="D1692" s="194"/>
      <c r="E1692" s="194"/>
      <c r="F1692" s="194"/>
      <c r="G1692" s="194"/>
      <c r="H1692" s="194"/>
      <c r="I1692" s="194"/>
      <c r="J1692" s="194"/>
      <c r="K1692" s="194"/>
      <c r="L1692" s="194"/>
    </row>
    <row r="1693" spans="1:12" x14ac:dyDescent="0.3">
      <c r="A1693" s="194"/>
      <c r="B1693" s="194"/>
      <c r="C1693" s="194"/>
      <c r="D1693" s="194"/>
      <c r="E1693" s="194"/>
      <c r="F1693" s="194"/>
      <c r="G1693" s="194"/>
      <c r="H1693" s="194"/>
      <c r="I1693" s="194"/>
      <c r="J1693" s="194"/>
      <c r="K1693" s="194"/>
      <c r="L1693" s="194"/>
    </row>
    <row r="1694" spans="1:12" x14ac:dyDescent="0.3">
      <c r="A1694" s="194"/>
      <c r="B1694" s="194"/>
      <c r="C1694" s="194"/>
      <c r="D1694" s="194"/>
      <c r="E1694" s="194"/>
      <c r="F1694" s="194"/>
      <c r="G1694" s="194"/>
      <c r="H1694" s="194"/>
      <c r="I1694" s="194"/>
      <c r="J1694" s="194"/>
      <c r="K1694" s="194"/>
      <c r="L1694" s="194"/>
    </row>
    <row r="1695" spans="1:12" x14ac:dyDescent="0.3">
      <c r="A1695" s="194"/>
      <c r="B1695" s="194"/>
      <c r="C1695" s="194"/>
      <c r="D1695" s="194"/>
      <c r="E1695" s="194"/>
      <c r="F1695" s="194"/>
      <c r="G1695" s="194"/>
      <c r="H1695" s="194"/>
      <c r="I1695" s="194"/>
      <c r="J1695" s="194"/>
      <c r="K1695" s="194"/>
      <c r="L1695" s="194"/>
    </row>
    <row r="1696" spans="1:12" x14ac:dyDescent="0.3">
      <c r="A1696" s="194"/>
      <c r="B1696" s="194"/>
      <c r="C1696" s="194"/>
      <c r="D1696" s="194"/>
      <c r="E1696" s="194"/>
      <c r="F1696" s="194"/>
      <c r="G1696" s="194"/>
      <c r="H1696" s="194"/>
      <c r="I1696" s="194"/>
      <c r="J1696" s="194"/>
      <c r="K1696" s="194"/>
      <c r="L1696" s="194"/>
    </row>
    <row r="1697" spans="1:12" x14ac:dyDescent="0.3">
      <c r="A1697" s="194"/>
      <c r="B1697" s="194"/>
      <c r="C1697" s="194"/>
      <c r="D1697" s="194"/>
      <c r="E1697" s="194"/>
      <c r="F1697" s="194"/>
      <c r="G1697" s="194"/>
      <c r="H1697" s="194"/>
      <c r="I1697" s="194"/>
      <c r="J1697" s="194"/>
      <c r="K1697" s="194"/>
      <c r="L1697" s="194"/>
    </row>
    <row r="1698" spans="1:12" x14ac:dyDescent="0.3">
      <c r="A1698" s="194"/>
      <c r="B1698" s="194"/>
      <c r="C1698" s="194"/>
      <c r="D1698" s="194"/>
      <c r="E1698" s="194"/>
      <c r="F1698" s="194"/>
      <c r="G1698" s="194"/>
      <c r="H1698" s="194"/>
      <c r="I1698" s="194"/>
      <c r="J1698" s="194"/>
      <c r="K1698" s="194"/>
      <c r="L1698" s="194"/>
    </row>
    <row r="1699" spans="1:12" x14ac:dyDescent="0.3">
      <c r="A1699" s="194"/>
      <c r="B1699" s="194"/>
      <c r="C1699" s="194"/>
      <c r="D1699" s="194"/>
      <c r="E1699" s="194"/>
      <c r="F1699" s="194"/>
      <c r="G1699" s="194"/>
      <c r="H1699" s="194"/>
      <c r="I1699" s="194"/>
      <c r="J1699" s="194"/>
      <c r="K1699" s="194"/>
      <c r="L1699" s="194"/>
    </row>
    <row r="1700" spans="1:12" x14ac:dyDescent="0.3">
      <c r="A1700" s="194"/>
      <c r="B1700" s="194"/>
      <c r="C1700" s="194"/>
      <c r="D1700" s="194"/>
      <c r="E1700" s="194"/>
      <c r="F1700" s="194"/>
      <c r="G1700" s="194"/>
      <c r="H1700" s="194"/>
      <c r="I1700" s="194"/>
      <c r="J1700" s="194"/>
      <c r="K1700" s="194"/>
      <c r="L1700" s="194"/>
    </row>
    <row r="1701" spans="1:12" x14ac:dyDescent="0.3">
      <c r="A1701" s="194"/>
      <c r="B1701" s="194"/>
      <c r="C1701" s="194"/>
      <c r="D1701" s="194"/>
      <c r="E1701" s="194"/>
      <c r="F1701" s="194"/>
      <c r="G1701" s="194"/>
      <c r="H1701" s="194"/>
      <c r="I1701" s="194"/>
      <c r="J1701" s="194"/>
      <c r="K1701" s="194"/>
      <c r="L1701" s="194"/>
    </row>
    <row r="1702" spans="1:12" x14ac:dyDescent="0.3">
      <c r="A1702" s="194"/>
      <c r="B1702" s="194"/>
      <c r="C1702" s="194"/>
      <c r="D1702" s="194"/>
      <c r="E1702" s="194"/>
      <c r="F1702" s="194"/>
      <c r="G1702" s="194"/>
      <c r="H1702" s="194"/>
      <c r="I1702" s="194"/>
      <c r="J1702" s="194"/>
      <c r="K1702" s="194"/>
      <c r="L1702" s="194"/>
    </row>
    <row r="1703" spans="1:12" x14ac:dyDescent="0.3">
      <c r="A1703" s="194"/>
      <c r="B1703" s="194"/>
      <c r="C1703" s="194"/>
      <c r="D1703" s="194"/>
      <c r="E1703" s="194"/>
      <c r="F1703" s="194"/>
      <c r="G1703" s="194"/>
      <c r="H1703" s="194"/>
      <c r="I1703" s="194"/>
      <c r="J1703" s="194"/>
      <c r="K1703" s="194"/>
      <c r="L1703" s="194"/>
    </row>
    <row r="1704" spans="1:12" x14ac:dyDescent="0.3">
      <c r="A1704" s="194"/>
      <c r="B1704" s="194"/>
      <c r="C1704" s="194"/>
      <c r="D1704" s="194"/>
      <c r="E1704" s="194"/>
      <c r="F1704" s="194"/>
      <c r="G1704" s="194"/>
      <c r="H1704" s="194"/>
      <c r="I1704" s="194"/>
      <c r="J1704" s="194"/>
      <c r="K1704" s="194"/>
      <c r="L1704" s="194"/>
    </row>
    <row r="1705" spans="1:12" x14ac:dyDescent="0.3">
      <c r="A1705" s="194"/>
      <c r="B1705" s="194"/>
      <c r="C1705" s="194"/>
      <c r="D1705" s="194"/>
      <c r="E1705" s="194"/>
      <c r="F1705" s="194"/>
      <c r="G1705" s="194"/>
      <c r="H1705" s="194"/>
      <c r="I1705" s="194"/>
      <c r="J1705" s="194"/>
      <c r="K1705" s="194"/>
      <c r="L1705" s="194"/>
    </row>
    <row r="1706" spans="1:12" x14ac:dyDescent="0.3">
      <c r="A1706" s="194"/>
      <c r="B1706" s="194"/>
      <c r="C1706" s="194"/>
      <c r="D1706" s="194"/>
      <c r="E1706" s="194"/>
      <c r="F1706" s="194"/>
      <c r="G1706" s="194"/>
      <c r="H1706" s="194"/>
      <c r="I1706" s="194"/>
      <c r="J1706" s="194"/>
      <c r="K1706" s="194"/>
      <c r="L1706" s="194"/>
    </row>
    <row r="1707" spans="1:12" x14ac:dyDescent="0.3">
      <c r="A1707" s="194"/>
      <c r="B1707" s="194"/>
      <c r="C1707" s="194"/>
      <c r="D1707" s="194"/>
      <c r="E1707" s="194"/>
      <c r="F1707" s="194"/>
      <c r="G1707" s="194"/>
      <c r="H1707" s="194"/>
      <c r="I1707" s="194"/>
      <c r="J1707" s="194"/>
      <c r="K1707" s="194"/>
      <c r="L1707" s="194"/>
    </row>
    <row r="1708" spans="1:12" x14ac:dyDescent="0.3">
      <c r="A1708" s="194"/>
      <c r="B1708" s="194"/>
      <c r="C1708" s="194"/>
      <c r="D1708" s="194"/>
      <c r="E1708" s="194"/>
      <c r="F1708" s="194"/>
      <c r="G1708" s="194"/>
      <c r="H1708" s="194"/>
      <c r="I1708" s="194"/>
      <c r="J1708" s="194"/>
      <c r="K1708" s="194"/>
      <c r="L1708" s="194"/>
    </row>
    <row r="1709" spans="1:12" x14ac:dyDescent="0.3">
      <c r="A1709" s="194"/>
      <c r="B1709" s="194"/>
      <c r="C1709" s="194"/>
      <c r="D1709" s="194"/>
      <c r="E1709" s="194"/>
      <c r="F1709" s="194"/>
      <c r="G1709" s="194"/>
      <c r="H1709" s="194"/>
      <c r="I1709" s="194"/>
      <c r="J1709" s="194"/>
      <c r="K1709" s="194"/>
      <c r="L1709" s="194"/>
    </row>
    <row r="1710" spans="1:12" x14ac:dyDescent="0.3">
      <c r="A1710" s="194"/>
      <c r="B1710" s="194"/>
      <c r="C1710" s="194"/>
      <c r="D1710" s="194"/>
      <c r="E1710" s="194"/>
      <c r="F1710" s="194"/>
      <c r="G1710" s="194"/>
      <c r="H1710" s="194"/>
      <c r="I1710" s="194"/>
      <c r="J1710" s="194"/>
      <c r="K1710" s="194"/>
      <c r="L1710" s="194"/>
    </row>
    <row r="1711" spans="1:12" x14ac:dyDescent="0.3">
      <c r="A1711" s="194"/>
      <c r="B1711" s="194"/>
      <c r="C1711" s="194"/>
      <c r="D1711" s="194"/>
      <c r="E1711" s="194"/>
      <c r="F1711" s="194"/>
      <c r="G1711" s="194"/>
      <c r="H1711" s="194"/>
      <c r="I1711" s="194"/>
      <c r="J1711" s="194"/>
      <c r="K1711" s="194"/>
      <c r="L1711" s="194"/>
    </row>
    <row r="1712" spans="1:12" x14ac:dyDescent="0.3">
      <c r="A1712" s="194"/>
      <c r="B1712" s="194"/>
      <c r="C1712" s="194"/>
      <c r="D1712" s="194"/>
      <c r="E1712" s="194"/>
      <c r="F1712" s="194"/>
      <c r="G1712" s="194"/>
      <c r="H1712" s="194"/>
      <c r="I1712" s="194"/>
      <c r="J1712" s="194"/>
      <c r="K1712" s="194"/>
      <c r="L1712" s="194"/>
    </row>
    <row r="1713" spans="1:12" x14ac:dyDescent="0.3">
      <c r="A1713" s="194"/>
      <c r="B1713" s="194"/>
      <c r="C1713" s="194"/>
      <c r="D1713" s="194"/>
      <c r="E1713" s="194"/>
      <c r="F1713" s="194"/>
      <c r="G1713" s="194"/>
      <c r="H1713" s="194"/>
      <c r="I1713" s="194"/>
      <c r="J1713" s="194"/>
      <c r="K1713" s="194"/>
      <c r="L1713" s="194"/>
    </row>
    <row r="1714" spans="1:12" x14ac:dyDescent="0.3">
      <c r="A1714" s="194"/>
      <c r="B1714" s="194"/>
      <c r="C1714" s="194"/>
      <c r="D1714" s="194"/>
      <c r="E1714" s="194"/>
      <c r="F1714" s="194"/>
      <c r="G1714" s="194"/>
      <c r="H1714" s="194"/>
      <c r="I1714" s="194"/>
      <c r="J1714" s="194"/>
      <c r="K1714" s="194"/>
      <c r="L1714" s="194"/>
    </row>
    <row r="1715" spans="1:12" x14ac:dyDescent="0.3">
      <c r="A1715" s="194"/>
      <c r="B1715" s="194"/>
      <c r="C1715" s="194"/>
      <c r="D1715" s="194"/>
      <c r="E1715" s="194"/>
      <c r="F1715" s="194"/>
      <c r="G1715" s="194"/>
      <c r="H1715" s="194"/>
      <c r="I1715" s="194"/>
      <c r="J1715" s="194"/>
      <c r="K1715" s="194"/>
      <c r="L1715" s="194"/>
    </row>
    <row r="1716" spans="1:12" x14ac:dyDescent="0.3">
      <c r="A1716" s="194"/>
      <c r="B1716" s="194"/>
      <c r="C1716" s="194"/>
      <c r="D1716" s="194"/>
      <c r="E1716" s="194"/>
      <c r="F1716" s="194"/>
      <c r="G1716" s="194"/>
      <c r="H1716" s="194"/>
      <c r="I1716" s="194"/>
      <c r="J1716" s="194"/>
      <c r="K1716" s="194"/>
      <c r="L1716" s="194"/>
    </row>
    <row r="1717" spans="1:12" x14ac:dyDescent="0.3">
      <c r="A1717" s="194"/>
      <c r="B1717" s="194"/>
      <c r="C1717" s="194"/>
      <c r="D1717" s="194"/>
      <c r="E1717" s="194"/>
      <c r="F1717" s="194"/>
      <c r="G1717" s="194"/>
      <c r="H1717" s="194"/>
      <c r="I1717" s="194"/>
      <c r="J1717" s="194"/>
      <c r="K1717" s="194"/>
      <c r="L1717" s="194"/>
    </row>
    <row r="1718" spans="1:12" x14ac:dyDescent="0.3">
      <c r="A1718" s="194"/>
      <c r="B1718" s="194"/>
      <c r="C1718" s="194"/>
      <c r="D1718" s="194"/>
      <c r="E1718" s="194"/>
      <c r="F1718" s="194"/>
      <c r="G1718" s="194"/>
      <c r="H1718" s="194"/>
      <c r="I1718" s="194"/>
      <c r="J1718" s="194"/>
      <c r="K1718" s="194"/>
      <c r="L1718" s="194"/>
    </row>
    <row r="1719" spans="1:12" x14ac:dyDescent="0.3">
      <c r="A1719" s="194"/>
      <c r="B1719" s="194"/>
      <c r="C1719" s="194"/>
      <c r="D1719" s="194"/>
      <c r="E1719" s="194"/>
      <c r="F1719" s="194"/>
      <c r="G1719" s="194"/>
      <c r="H1719" s="194"/>
      <c r="I1719" s="194"/>
      <c r="J1719" s="194"/>
      <c r="K1719" s="194"/>
      <c r="L1719" s="194"/>
    </row>
    <row r="1720" spans="1:12" x14ac:dyDescent="0.3">
      <c r="A1720" s="194"/>
      <c r="B1720" s="194"/>
      <c r="C1720" s="194"/>
      <c r="D1720" s="194"/>
      <c r="E1720" s="194"/>
      <c r="F1720" s="194"/>
      <c r="G1720" s="194"/>
      <c r="H1720" s="194"/>
      <c r="I1720" s="194"/>
      <c r="J1720" s="194"/>
      <c r="K1720" s="194"/>
      <c r="L1720" s="194"/>
    </row>
    <row r="1721" spans="1:12" x14ac:dyDescent="0.3">
      <c r="A1721" s="194"/>
      <c r="B1721" s="194"/>
      <c r="C1721" s="194"/>
      <c r="D1721" s="194"/>
      <c r="E1721" s="194"/>
      <c r="F1721" s="194"/>
      <c r="G1721" s="194"/>
      <c r="H1721" s="194"/>
      <c r="I1721" s="194"/>
      <c r="J1721" s="194"/>
      <c r="K1721" s="194"/>
      <c r="L1721" s="194"/>
    </row>
    <row r="1722" spans="1:12" x14ac:dyDescent="0.3">
      <c r="A1722" s="194"/>
      <c r="B1722" s="194"/>
      <c r="C1722" s="194"/>
      <c r="D1722" s="194"/>
      <c r="E1722" s="194"/>
      <c r="F1722" s="194"/>
      <c r="G1722" s="194"/>
      <c r="H1722" s="194"/>
      <c r="I1722" s="194"/>
      <c r="J1722" s="194"/>
      <c r="K1722" s="194"/>
      <c r="L1722" s="194"/>
    </row>
    <row r="1723" spans="1:12" x14ac:dyDescent="0.3">
      <c r="A1723" s="194"/>
      <c r="B1723" s="194"/>
      <c r="C1723" s="194"/>
      <c r="D1723" s="194"/>
      <c r="E1723" s="194"/>
      <c r="F1723" s="194"/>
      <c r="G1723" s="194"/>
      <c r="H1723" s="194"/>
      <c r="I1723" s="194"/>
      <c r="J1723" s="194"/>
      <c r="K1723" s="194"/>
      <c r="L1723" s="194"/>
    </row>
    <row r="1724" spans="1:12" x14ac:dyDescent="0.3">
      <c r="A1724" s="194"/>
      <c r="B1724" s="194"/>
      <c r="C1724" s="194"/>
      <c r="D1724" s="194"/>
      <c r="E1724" s="194"/>
      <c r="F1724" s="194"/>
      <c r="G1724" s="194"/>
      <c r="H1724" s="194"/>
      <c r="I1724" s="194"/>
      <c r="J1724" s="194"/>
      <c r="K1724" s="194"/>
      <c r="L1724" s="194"/>
    </row>
    <row r="1725" spans="1:12" x14ac:dyDescent="0.3">
      <c r="A1725" s="194"/>
      <c r="B1725" s="194"/>
      <c r="C1725" s="194"/>
      <c r="D1725" s="194"/>
      <c r="E1725" s="194"/>
      <c r="F1725" s="194"/>
      <c r="G1725" s="194"/>
      <c r="H1725" s="194"/>
      <c r="I1725" s="194"/>
      <c r="J1725" s="194"/>
      <c r="K1725" s="194"/>
      <c r="L1725" s="194"/>
    </row>
    <row r="1726" spans="1:12" x14ac:dyDescent="0.3">
      <c r="A1726" s="194"/>
      <c r="B1726" s="194"/>
      <c r="C1726" s="194"/>
      <c r="D1726" s="194"/>
      <c r="E1726" s="194"/>
      <c r="F1726" s="194"/>
      <c r="G1726" s="194"/>
      <c r="H1726" s="194"/>
      <c r="I1726" s="194"/>
      <c r="J1726" s="194"/>
      <c r="K1726" s="194"/>
      <c r="L1726" s="194"/>
    </row>
    <row r="1727" spans="1:12" x14ac:dyDescent="0.3">
      <c r="A1727" s="194"/>
      <c r="B1727" s="194"/>
      <c r="C1727" s="194"/>
      <c r="D1727" s="194"/>
      <c r="E1727" s="194"/>
      <c r="F1727" s="194"/>
      <c r="G1727" s="194"/>
      <c r="H1727" s="194"/>
      <c r="I1727" s="194"/>
      <c r="J1727" s="194"/>
      <c r="K1727" s="194"/>
      <c r="L1727" s="194"/>
    </row>
    <row r="1728" spans="1:12" x14ac:dyDescent="0.3">
      <c r="A1728" s="194"/>
      <c r="B1728" s="194"/>
      <c r="C1728" s="194"/>
      <c r="D1728" s="194"/>
      <c r="E1728" s="194"/>
      <c r="F1728" s="194"/>
      <c r="G1728" s="194"/>
      <c r="H1728" s="194"/>
      <c r="I1728" s="194"/>
      <c r="J1728" s="194"/>
      <c r="K1728" s="194"/>
      <c r="L1728" s="194"/>
    </row>
    <row r="1729" spans="1:12" x14ac:dyDescent="0.3">
      <c r="A1729" s="194"/>
      <c r="B1729" s="194"/>
      <c r="C1729" s="194"/>
      <c r="D1729" s="194"/>
      <c r="E1729" s="194"/>
      <c r="F1729" s="194"/>
      <c r="G1729" s="194"/>
      <c r="H1729" s="194"/>
      <c r="I1729" s="194"/>
      <c r="J1729" s="194"/>
      <c r="K1729" s="194"/>
      <c r="L1729" s="194"/>
    </row>
    <row r="1730" spans="1:12" x14ac:dyDescent="0.3">
      <c r="A1730" s="194"/>
      <c r="B1730" s="194"/>
      <c r="C1730" s="194"/>
      <c r="D1730" s="194"/>
      <c r="E1730" s="194"/>
      <c r="F1730" s="194"/>
      <c r="G1730" s="194"/>
      <c r="H1730" s="194"/>
      <c r="I1730" s="194"/>
      <c r="J1730" s="194"/>
      <c r="K1730" s="194"/>
      <c r="L1730" s="194"/>
    </row>
    <row r="1731" spans="1:12" x14ac:dyDescent="0.3">
      <c r="A1731" s="194"/>
      <c r="B1731" s="194"/>
      <c r="C1731" s="194"/>
      <c r="D1731" s="194"/>
      <c r="E1731" s="194"/>
      <c r="F1731" s="194"/>
      <c r="G1731" s="194"/>
      <c r="H1731" s="194"/>
      <c r="I1731" s="194"/>
      <c r="J1731" s="194"/>
      <c r="K1731" s="194"/>
      <c r="L1731" s="194"/>
    </row>
    <row r="1732" spans="1:12" x14ac:dyDescent="0.3">
      <c r="A1732" s="194"/>
      <c r="B1732" s="194"/>
      <c r="C1732" s="194"/>
      <c r="D1732" s="194"/>
      <c r="E1732" s="194"/>
      <c r="F1732" s="194"/>
      <c r="G1732" s="194"/>
      <c r="H1732" s="194"/>
      <c r="I1732" s="194"/>
      <c r="J1732" s="194"/>
      <c r="K1732" s="194"/>
      <c r="L1732" s="194"/>
    </row>
    <row r="1733" spans="1:12" x14ac:dyDescent="0.3">
      <c r="A1733" s="194"/>
      <c r="B1733" s="194"/>
      <c r="C1733" s="194"/>
      <c r="D1733" s="194"/>
      <c r="E1733" s="194"/>
      <c r="F1733" s="194"/>
      <c r="G1733" s="194"/>
      <c r="H1733" s="194"/>
      <c r="I1733" s="194"/>
      <c r="J1733" s="194"/>
      <c r="K1733" s="194"/>
      <c r="L1733" s="194"/>
    </row>
    <row r="1734" spans="1:12" x14ac:dyDescent="0.3">
      <c r="A1734" s="194"/>
      <c r="B1734" s="194"/>
      <c r="C1734" s="194"/>
      <c r="D1734" s="194"/>
      <c r="E1734" s="194"/>
      <c r="F1734" s="194"/>
      <c r="G1734" s="194"/>
      <c r="H1734" s="194"/>
      <c r="I1734" s="194"/>
      <c r="J1734" s="194"/>
      <c r="K1734" s="194"/>
      <c r="L1734" s="194"/>
    </row>
    <row r="1735" spans="1:12" x14ac:dyDescent="0.3">
      <c r="A1735" s="194"/>
      <c r="B1735" s="194"/>
      <c r="C1735" s="194"/>
      <c r="D1735" s="194"/>
      <c r="E1735" s="194"/>
      <c r="F1735" s="194"/>
      <c r="G1735" s="194"/>
      <c r="H1735" s="194"/>
      <c r="I1735" s="194"/>
      <c r="J1735" s="194"/>
      <c r="K1735" s="194"/>
      <c r="L1735" s="194"/>
    </row>
    <row r="1736" spans="1:12" x14ac:dyDescent="0.3">
      <c r="A1736" s="194"/>
      <c r="B1736" s="194"/>
      <c r="C1736" s="194"/>
      <c r="D1736" s="194"/>
      <c r="E1736" s="194"/>
      <c r="F1736" s="194"/>
      <c r="G1736" s="194"/>
      <c r="H1736" s="194"/>
      <c r="I1736" s="194"/>
      <c r="J1736" s="194"/>
      <c r="K1736" s="194"/>
      <c r="L1736" s="194"/>
    </row>
    <row r="1737" spans="1:12" x14ac:dyDescent="0.3">
      <c r="A1737" s="194"/>
      <c r="B1737" s="194"/>
      <c r="C1737" s="194"/>
      <c r="D1737" s="194"/>
      <c r="E1737" s="194"/>
      <c r="F1737" s="194"/>
      <c r="G1737" s="194"/>
      <c r="H1737" s="194"/>
      <c r="I1737" s="194"/>
      <c r="J1737" s="194"/>
      <c r="K1737" s="194"/>
      <c r="L1737" s="194"/>
    </row>
    <row r="1738" spans="1:12" x14ac:dyDescent="0.3">
      <c r="A1738" s="194"/>
      <c r="B1738" s="194"/>
      <c r="C1738" s="194"/>
      <c r="D1738" s="194"/>
      <c r="E1738" s="194"/>
      <c r="F1738" s="194"/>
      <c r="G1738" s="194"/>
      <c r="H1738" s="194"/>
      <c r="I1738" s="194"/>
      <c r="J1738" s="194"/>
      <c r="K1738" s="194"/>
      <c r="L1738" s="194"/>
    </row>
    <row r="1739" spans="1:12" x14ac:dyDescent="0.3">
      <c r="A1739" s="194"/>
      <c r="B1739" s="194"/>
      <c r="C1739" s="194"/>
      <c r="D1739" s="194"/>
      <c r="E1739" s="194"/>
      <c r="F1739" s="194"/>
      <c r="G1739" s="194"/>
      <c r="H1739" s="194"/>
      <c r="I1739" s="194"/>
      <c r="J1739" s="194"/>
      <c r="K1739" s="194"/>
      <c r="L1739" s="194"/>
    </row>
    <row r="1740" spans="1:12" x14ac:dyDescent="0.3">
      <c r="A1740" s="194"/>
      <c r="B1740" s="194"/>
      <c r="C1740" s="194"/>
      <c r="D1740" s="194"/>
      <c r="E1740" s="194"/>
      <c r="F1740" s="194"/>
      <c r="G1740" s="194"/>
      <c r="H1740" s="194"/>
      <c r="I1740" s="194"/>
      <c r="J1740" s="194"/>
      <c r="K1740" s="194"/>
      <c r="L1740" s="194"/>
    </row>
    <row r="1741" spans="1:12" x14ac:dyDescent="0.3">
      <c r="A1741" s="194"/>
      <c r="B1741" s="194"/>
      <c r="C1741" s="194"/>
      <c r="D1741" s="194"/>
      <c r="E1741" s="194"/>
      <c r="F1741" s="194"/>
      <c r="G1741" s="194"/>
      <c r="H1741" s="194"/>
      <c r="I1741" s="194"/>
      <c r="J1741" s="194"/>
      <c r="K1741" s="194"/>
      <c r="L1741" s="194"/>
    </row>
    <row r="1742" spans="1:12" x14ac:dyDescent="0.3">
      <c r="A1742" s="194"/>
      <c r="B1742" s="194"/>
      <c r="C1742" s="194"/>
      <c r="D1742" s="194"/>
      <c r="E1742" s="194"/>
      <c r="F1742" s="194"/>
      <c r="G1742" s="194"/>
      <c r="H1742" s="194"/>
      <c r="I1742" s="194"/>
      <c r="J1742" s="194"/>
      <c r="K1742" s="194"/>
      <c r="L1742" s="194"/>
    </row>
    <row r="1743" spans="1:12" x14ac:dyDescent="0.3">
      <c r="A1743" s="194"/>
      <c r="B1743" s="194"/>
      <c r="C1743" s="194"/>
      <c r="D1743" s="194"/>
      <c r="E1743" s="194"/>
      <c r="F1743" s="194"/>
      <c r="G1743" s="194"/>
      <c r="H1743" s="194"/>
      <c r="I1743" s="194"/>
      <c r="J1743" s="194"/>
      <c r="K1743" s="194"/>
      <c r="L1743" s="194"/>
    </row>
    <row r="1744" spans="1:12" x14ac:dyDescent="0.3">
      <c r="A1744" s="194"/>
      <c r="B1744" s="194"/>
      <c r="C1744" s="194"/>
      <c r="D1744" s="194"/>
      <c r="E1744" s="194"/>
      <c r="F1744" s="194"/>
      <c r="G1744" s="194"/>
      <c r="H1744" s="194"/>
      <c r="I1744" s="194"/>
      <c r="J1744" s="194"/>
      <c r="K1744" s="194"/>
      <c r="L1744" s="194"/>
    </row>
    <row r="1745" spans="1:12" x14ac:dyDescent="0.3">
      <c r="A1745" s="194"/>
      <c r="B1745" s="194"/>
      <c r="C1745" s="194"/>
      <c r="D1745" s="194"/>
      <c r="E1745" s="194"/>
      <c r="F1745" s="194"/>
      <c r="G1745" s="194"/>
      <c r="H1745" s="194"/>
      <c r="I1745" s="194"/>
      <c r="J1745" s="194"/>
      <c r="K1745" s="194"/>
      <c r="L1745" s="194"/>
    </row>
    <row r="1746" spans="1:12" x14ac:dyDescent="0.3">
      <c r="A1746" s="194"/>
      <c r="B1746" s="194"/>
      <c r="C1746" s="194"/>
      <c r="D1746" s="194"/>
      <c r="E1746" s="194"/>
      <c r="F1746" s="194"/>
      <c r="G1746" s="194"/>
      <c r="H1746" s="194"/>
      <c r="I1746" s="194"/>
      <c r="J1746" s="194"/>
      <c r="K1746" s="194"/>
      <c r="L1746" s="194"/>
    </row>
    <row r="1747" spans="1:12" x14ac:dyDescent="0.3">
      <c r="A1747" s="194"/>
      <c r="B1747" s="194"/>
      <c r="C1747" s="194"/>
      <c r="D1747" s="194"/>
      <c r="E1747" s="194"/>
      <c r="F1747" s="194"/>
      <c r="G1747" s="194"/>
      <c r="H1747" s="194"/>
      <c r="I1747" s="194"/>
      <c r="J1747" s="194"/>
      <c r="K1747" s="194"/>
      <c r="L1747" s="194"/>
    </row>
    <row r="1748" spans="1:12" x14ac:dyDescent="0.3">
      <c r="A1748" s="194"/>
      <c r="B1748" s="194"/>
      <c r="C1748" s="194"/>
      <c r="D1748" s="194"/>
      <c r="E1748" s="194"/>
      <c r="F1748" s="194"/>
      <c r="G1748" s="194"/>
      <c r="H1748" s="194"/>
      <c r="I1748" s="194"/>
      <c r="J1748" s="194"/>
      <c r="K1748" s="194"/>
      <c r="L1748" s="194"/>
    </row>
    <row r="1749" spans="1:12" x14ac:dyDescent="0.3">
      <c r="A1749" s="194"/>
      <c r="B1749" s="194"/>
      <c r="C1749" s="194"/>
      <c r="D1749" s="194"/>
      <c r="E1749" s="194"/>
      <c r="F1749" s="194"/>
      <c r="G1749" s="194"/>
      <c r="H1749" s="194"/>
      <c r="I1749" s="194"/>
      <c r="J1749" s="194"/>
      <c r="K1749" s="194"/>
      <c r="L1749" s="194"/>
    </row>
    <row r="1750" spans="1:12" x14ac:dyDescent="0.3">
      <c r="A1750" s="194"/>
      <c r="B1750" s="194"/>
      <c r="C1750" s="194"/>
      <c r="D1750" s="194"/>
      <c r="E1750" s="194"/>
      <c r="F1750" s="194"/>
      <c r="G1750" s="194"/>
      <c r="H1750" s="194"/>
      <c r="I1750" s="194"/>
      <c r="J1750" s="194"/>
      <c r="K1750" s="194"/>
      <c r="L1750" s="194"/>
    </row>
    <row r="1751" spans="1:12" x14ac:dyDescent="0.3">
      <c r="A1751" s="194"/>
      <c r="B1751" s="194"/>
      <c r="C1751" s="194"/>
      <c r="D1751" s="194"/>
      <c r="E1751" s="194"/>
      <c r="F1751" s="194"/>
      <c r="G1751" s="194"/>
      <c r="H1751" s="194"/>
      <c r="I1751" s="194"/>
      <c r="J1751" s="194"/>
      <c r="K1751" s="194"/>
      <c r="L1751" s="194"/>
    </row>
    <row r="1752" spans="1:12" x14ac:dyDescent="0.3">
      <c r="A1752" s="194"/>
      <c r="B1752" s="194"/>
      <c r="C1752" s="194"/>
      <c r="D1752" s="194"/>
      <c r="E1752" s="194"/>
      <c r="F1752" s="194"/>
      <c r="G1752" s="194"/>
      <c r="H1752" s="194"/>
      <c r="I1752" s="194"/>
      <c r="J1752" s="194"/>
      <c r="K1752" s="194"/>
      <c r="L1752" s="194"/>
    </row>
    <row r="1753" spans="1:12" x14ac:dyDescent="0.3">
      <c r="A1753" s="194"/>
      <c r="B1753" s="194"/>
      <c r="C1753" s="194"/>
      <c r="D1753" s="194"/>
      <c r="E1753" s="194"/>
      <c r="F1753" s="194"/>
      <c r="G1753" s="194"/>
      <c r="H1753" s="194"/>
      <c r="I1753" s="194"/>
      <c r="J1753" s="194"/>
      <c r="K1753" s="194"/>
      <c r="L1753" s="194"/>
    </row>
    <row r="1754" spans="1:12" x14ac:dyDescent="0.3">
      <c r="A1754" s="194"/>
      <c r="B1754" s="194"/>
      <c r="C1754" s="194"/>
      <c r="D1754" s="194"/>
      <c r="E1754" s="194"/>
      <c r="F1754" s="194"/>
      <c r="G1754" s="194"/>
      <c r="H1754" s="194"/>
      <c r="I1754" s="194"/>
      <c r="J1754" s="194"/>
      <c r="K1754" s="194"/>
      <c r="L1754" s="194"/>
    </row>
    <row r="1755" spans="1:12" x14ac:dyDescent="0.3">
      <c r="A1755" s="194"/>
      <c r="B1755" s="194"/>
      <c r="C1755" s="194"/>
      <c r="D1755" s="194"/>
      <c r="E1755" s="194"/>
      <c r="F1755" s="194"/>
      <c r="G1755" s="194"/>
      <c r="H1755" s="194"/>
      <c r="I1755" s="194"/>
      <c r="J1755" s="194"/>
      <c r="K1755" s="194"/>
      <c r="L1755" s="194"/>
    </row>
    <row r="1756" spans="1:12" x14ac:dyDescent="0.3">
      <c r="A1756" s="194"/>
      <c r="B1756" s="194"/>
      <c r="C1756" s="194"/>
      <c r="D1756" s="194"/>
      <c r="E1756" s="194"/>
      <c r="F1756" s="194"/>
      <c r="G1756" s="194"/>
      <c r="H1756" s="194"/>
      <c r="I1756" s="194"/>
      <c r="J1756" s="194"/>
      <c r="K1756" s="194"/>
      <c r="L1756" s="194"/>
    </row>
    <row r="1757" spans="1:12" x14ac:dyDescent="0.3">
      <c r="A1757" s="194"/>
      <c r="B1757" s="194"/>
      <c r="C1757" s="194"/>
      <c r="D1757" s="194"/>
      <c r="E1757" s="194"/>
      <c r="F1757" s="194"/>
      <c r="G1757" s="194"/>
      <c r="H1757" s="194"/>
      <c r="I1757" s="194"/>
      <c r="J1757" s="194"/>
      <c r="K1757" s="194"/>
      <c r="L1757" s="194"/>
    </row>
    <row r="1758" spans="1:12" x14ac:dyDescent="0.3">
      <c r="A1758" s="194"/>
      <c r="B1758" s="194"/>
      <c r="C1758" s="194"/>
      <c r="D1758" s="194"/>
      <c r="E1758" s="194"/>
      <c r="F1758" s="194"/>
      <c r="G1758" s="194"/>
      <c r="H1758" s="194"/>
      <c r="I1758" s="194"/>
      <c r="J1758" s="194"/>
      <c r="K1758" s="194"/>
      <c r="L1758" s="194"/>
    </row>
    <row r="1759" spans="1:12" x14ac:dyDescent="0.3">
      <c r="A1759" s="194"/>
      <c r="B1759" s="194"/>
      <c r="C1759" s="194"/>
      <c r="D1759" s="194"/>
      <c r="E1759" s="194"/>
      <c r="F1759" s="194"/>
      <c r="G1759" s="194"/>
      <c r="H1759" s="194"/>
      <c r="I1759" s="194"/>
      <c r="J1759" s="194"/>
      <c r="K1759" s="194"/>
      <c r="L1759" s="194"/>
    </row>
    <row r="1760" spans="1:12" x14ac:dyDescent="0.3">
      <c r="A1760" s="194"/>
      <c r="B1760" s="194"/>
      <c r="C1760" s="194"/>
      <c r="D1760" s="194"/>
      <c r="E1760" s="194"/>
      <c r="F1760" s="194"/>
      <c r="G1760" s="194"/>
      <c r="H1760" s="194"/>
      <c r="I1760" s="194"/>
      <c r="J1760" s="194"/>
      <c r="K1760" s="194"/>
      <c r="L1760" s="194"/>
    </row>
    <row r="1761" spans="1:12" x14ac:dyDescent="0.3">
      <c r="A1761" s="194"/>
      <c r="B1761" s="194"/>
      <c r="C1761" s="194"/>
      <c r="D1761" s="194"/>
      <c r="E1761" s="194"/>
      <c r="F1761" s="194"/>
      <c r="G1761" s="194"/>
      <c r="H1761" s="194"/>
      <c r="I1761" s="194"/>
      <c r="J1761" s="194"/>
      <c r="K1761" s="194"/>
      <c r="L1761" s="194"/>
    </row>
    <row r="1762" spans="1:12" x14ac:dyDescent="0.3">
      <c r="A1762" s="194"/>
      <c r="B1762" s="194"/>
      <c r="C1762" s="194"/>
      <c r="D1762" s="194"/>
      <c r="E1762" s="194"/>
      <c r="F1762" s="194"/>
      <c r="G1762" s="194"/>
      <c r="H1762" s="194"/>
      <c r="I1762" s="194"/>
      <c r="J1762" s="194"/>
      <c r="K1762" s="194"/>
      <c r="L1762" s="194"/>
    </row>
    <row r="1763" spans="1:12" x14ac:dyDescent="0.3">
      <c r="A1763" s="194"/>
      <c r="B1763" s="194"/>
      <c r="C1763" s="194"/>
      <c r="D1763" s="194"/>
      <c r="E1763" s="194"/>
      <c r="F1763" s="194"/>
      <c r="G1763" s="194"/>
      <c r="H1763" s="194"/>
      <c r="I1763" s="194"/>
      <c r="J1763" s="194"/>
      <c r="K1763" s="194"/>
      <c r="L1763" s="194"/>
    </row>
    <row r="1764" spans="1:12" x14ac:dyDescent="0.3">
      <c r="A1764" s="194"/>
      <c r="B1764" s="194"/>
      <c r="C1764" s="194"/>
      <c r="D1764" s="194"/>
      <c r="E1764" s="194"/>
      <c r="F1764" s="194"/>
      <c r="G1764" s="194"/>
      <c r="H1764" s="194"/>
      <c r="I1764" s="194"/>
      <c r="J1764" s="194"/>
      <c r="K1764" s="194"/>
      <c r="L1764" s="194"/>
    </row>
    <row r="1765" spans="1:12" x14ac:dyDescent="0.3">
      <c r="A1765" s="194"/>
      <c r="B1765" s="194"/>
      <c r="C1765" s="194"/>
      <c r="D1765" s="194"/>
      <c r="E1765" s="194"/>
      <c r="F1765" s="194"/>
      <c r="G1765" s="194"/>
      <c r="H1765" s="194"/>
      <c r="I1765" s="194"/>
      <c r="J1765" s="194"/>
      <c r="K1765" s="194"/>
      <c r="L1765" s="194"/>
    </row>
    <row r="1766" spans="1:12" x14ac:dyDescent="0.3">
      <c r="A1766" s="194"/>
      <c r="B1766" s="194"/>
      <c r="C1766" s="194"/>
      <c r="D1766" s="194"/>
      <c r="E1766" s="194"/>
      <c r="F1766" s="194"/>
      <c r="G1766" s="194"/>
      <c r="H1766" s="194"/>
      <c r="I1766" s="194"/>
      <c r="J1766" s="194"/>
      <c r="K1766" s="194"/>
      <c r="L1766" s="194"/>
    </row>
    <row r="1767" spans="1:12" x14ac:dyDescent="0.3">
      <c r="A1767" s="194"/>
      <c r="B1767" s="194"/>
      <c r="C1767" s="194"/>
      <c r="D1767" s="194"/>
      <c r="E1767" s="194"/>
      <c r="F1767" s="194"/>
      <c r="G1767" s="194"/>
      <c r="H1767" s="194"/>
      <c r="I1767" s="194"/>
      <c r="J1767" s="194"/>
      <c r="K1767" s="194"/>
      <c r="L1767" s="194"/>
    </row>
    <row r="1768" spans="1:12" x14ac:dyDescent="0.3">
      <c r="A1768" s="194"/>
      <c r="B1768" s="194"/>
      <c r="C1768" s="194"/>
      <c r="D1768" s="194"/>
      <c r="E1768" s="194"/>
      <c r="F1768" s="194"/>
      <c r="G1768" s="194"/>
      <c r="H1768" s="194"/>
      <c r="I1768" s="194"/>
      <c r="J1768" s="194"/>
      <c r="K1768" s="194"/>
      <c r="L1768" s="194"/>
    </row>
    <row r="1769" spans="1:12" x14ac:dyDescent="0.3">
      <c r="A1769" s="194"/>
      <c r="B1769" s="194"/>
      <c r="C1769" s="194"/>
      <c r="D1769" s="194"/>
      <c r="E1769" s="194"/>
      <c r="F1769" s="194"/>
      <c r="G1769" s="194"/>
      <c r="H1769" s="194"/>
      <c r="I1769" s="194"/>
      <c r="J1769" s="194"/>
      <c r="K1769" s="194"/>
      <c r="L1769" s="194"/>
    </row>
    <row r="1770" spans="1:12" x14ac:dyDescent="0.3">
      <c r="A1770" s="194"/>
      <c r="B1770" s="194"/>
      <c r="C1770" s="194"/>
      <c r="D1770" s="194"/>
      <c r="E1770" s="194"/>
      <c r="F1770" s="194"/>
      <c r="G1770" s="194"/>
      <c r="H1770" s="194"/>
      <c r="I1770" s="194"/>
      <c r="J1770" s="194"/>
      <c r="K1770" s="194"/>
      <c r="L1770" s="194"/>
    </row>
    <row r="1771" spans="1:12" x14ac:dyDescent="0.3">
      <c r="A1771" s="194"/>
      <c r="B1771" s="194"/>
      <c r="C1771" s="194"/>
      <c r="D1771" s="194"/>
      <c r="E1771" s="194"/>
      <c r="F1771" s="194"/>
      <c r="G1771" s="194"/>
      <c r="H1771" s="194"/>
      <c r="I1771" s="194"/>
      <c r="J1771" s="194"/>
      <c r="K1771" s="194"/>
      <c r="L1771" s="194"/>
    </row>
    <row r="1772" spans="1:12" x14ac:dyDescent="0.3">
      <c r="A1772" s="194"/>
      <c r="B1772" s="194"/>
      <c r="C1772" s="194"/>
      <c r="D1772" s="194"/>
      <c r="E1772" s="194"/>
      <c r="F1772" s="194"/>
      <c r="G1772" s="194"/>
      <c r="H1772" s="194"/>
      <c r="I1772" s="194"/>
      <c r="J1772" s="194"/>
      <c r="K1772" s="194"/>
      <c r="L1772" s="194"/>
    </row>
    <row r="1773" spans="1:12" x14ac:dyDescent="0.3">
      <c r="A1773" s="194"/>
      <c r="B1773" s="194"/>
      <c r="C1773" s="194"/>
      <c r="D1773" s="194"/>
      <c r="E1773" s="194"/>
      <c r="F1773" s="194"/>
      <c r="G1773" s="194"/>
      <c r="H1773" s="194"/>
      <c r="I1773" s="194"/>
      <c r="J1773" s="194"/>
      <c r="K1773" s="194"/>
      <c r="L1773" s="194"/>
    </row>
    <row r="1774" spans="1:12" x14ac:dyDescent="0.3">
      <c r="A1774" s="194"/>
      <c r="B1774" s="194"/>
      <c r="C1774" s="194"/>
      <c r="D1774" s="194"/>
      <c r="E1774" s="194"/>
      <c r="F1774" s="194"/>
      <c r="G1774" s="194"/>
      <c r="H1774" s="194"/>
      <c r="I1774" s="194"/>
      <c r="J1774" s="194"/>
      <c r="K1774" s="194"/>
      <c r="L1774" s="194"/>
    </row>
    <row r="1775" spans="1:12" x14ac:dyDescent="0.3">
      <c r="A1775" s="194"/>
      <c r="B1775" s="194"/>
      <c r="C1775" s="194"/>
      <c r="D1775" s="194"/>
      <c r="E1775" s="194"/>
      <c r="F1775" s="194"/>
      <c r="G1775" s="194"/>
      <c r="H1775" s="194"/>
      <c r="I1775" s="194"/>
      <c r="J1775" s="194"/>
      <c r="K1775" s="194"/>
      <c r="L1775" s="194"/>
    </row>
    <row r="1776" spans="1:12" x14ac:dyDescent="0.3">
      <c r="A1776" s="194"/>
      <c r="B1776" s="194"/>
      <c r="C1776" s="194"/>
      <c r="D1776" s="194"/>
      <c r="E1776" s="194"/>
      <c r="F1776" s="194"/>
      <c r="G1776" s="194"/>
      <c r="H1776" s="194"/>
      <c r="I1776" s="194"/>
      <c r="J1776" s="194"/>
      <c r="K1776" s="194"/>
      <c r="L1776" s="194"/>
    </row>
    <row r="1777" spans="1:12" x14ac:dyDescent="0.3">
      <c r="A1777" s="194"/>
      <c r="B1777" s="194"/>
      <c r="C1777" s="194"/>
      <c r="D1777" s="194"/>
      <c r="E1777" s="194"/>
      <c r="F1777" s="194"/>
      <c r="G1777" s="194"/>
      <c r="H1777" s="194"/>
      <c r="I1777" s="194"/>
      <c r="J1777" s="194"/>
      <c r="K1777" s="194"/>
      <c r="L1777" s="194"/>
    </row>
    <row r="1778" spans="1:12" x14ac:dyDescent="0.3">
      <c r="A1778" s="194"/>
      <c r="B1778" s="194"/>
      <c r="C1778" s="194"/>
      <c r="D1778" s="194"/>
      <c r="E1778" s="194"/>
      <c r="F1778" s="194"/>
      <c r="G1778" s="194"/>
      <c r="H1778" s="194"/>
      <c r="I1778" s="194"/>
      <c r="J1778" s="194"/>
      <c r="K1778" s="194"/>
      <c r="L1778" s="194"/>
    </row>
    <row r="1779" spans="1:12" x14ac:dyDescent="0.3">
      <c r="A1779" s="194"/>
      <c r="B1779" s="194"/>
      <c r="C1779" s="194"/>
      <c r="D1779" s="194"/>
      <c r="E1779" s="194"/>
      <c r="F1779" s="194"/>
      <c r="G1779" s="194"/>
      <c r="H1779" s="194"/>
      <c r="I1779" s="194"/>
      <c r="J1779" s="194"/>
      <c r="K1779" s="194"/>
      <c r="L1779" s="194"/>
    </row>
    <row r="1780" spans="1:12" x14ac:dyDescent="0.3">
      <c r="A1780" s="194"/>
      <c r="B1780" s="194"/>
      <c r="C1780" s="194"/>
      <c r="D1780" s="194"/>
      <c r="E1780" s="194"/>
      <c r="F1780" s="194"/>
      <c r="G1780" s="194"/>
      <c r="H1780" s="194"/>
      <c r="I1780" s="194"/>
      <c r="J1780" s="194"/>
      <c r="K1780" s="194"/>
      <c r="L1780" s="194"/>
    </row>
    <row r="1781" spans="1:12" x14ac:dyDescent="0.3">
      <c r="A1781" s="194"/>
      <c r="B1781" s="194"/>
      <c r="C1781" s="194"/>
      <c r="D1781" s="194"/>
      <c r="E1781" s="194"/>
      <c r="F1781" s="194"/>
      <c r="G1781" s="194"/>
      <c r="H1781" s="194"/>
      <c r="I1781" s="194"/>
      <c r="J1781" s="194"/>
      <c r="K1781" s="194"/>
      <c r="L1781" s="194"/>
    </row>
    <row r="1782" spans="1:12" x14ac:dyDescent="0.3">
      <c r="A1782" s="194"/>
      <c r="B1782" s="194"/>
      <c r="C1782" s="194"/>
      <c r="D1782" s="194"/>
      <c r="E1782" s="194"/>
      <c r="F1782" s="194"/>
      <c r="G1782" s="194"/>
      <c r="H1782" s="194"/>
      <c r="I1782" s="194"/>
      <c r="J1782" s="194"/>
      <c r="K1782" s="194"/>
      <c r="L1782" s="194"/>
    </row>
    <row r="1783" spans="1:12" x14ac:dyDescent="0.3">
      <c r="A1783" s="194"/>
      <c r="B1783" s="194"/>
      <c r="C1783" s="194"/>
      <c r="D1783" s="194"/>
      <c r="E1783" s="194"/>
      <c r="F1783" s="194"/>
      <c r="G1783" s="194"/>
      <c r="H1783" s="194"/>
      <c r="I1783" s="194"/>
      <c r="J1783" s="194"/>
      <c r="K1783" s="194"/>
      <c r="L1783" s="194"/>
    </row>
    <row r="1784" spans="1:12" x14ac:dyDescent="0.3">
      <c r="A1784" s="194"/>
      <c r="B1784" s="194"/>
      <c r="C1784" s="194"/>
      <c r="D1784" s="194"/>
      <c r="E1784" s="194"/>
      <c r="F1784" s="194"/>
      <c r="G1784" s="194"/>
      <c r="H1784" s="194"/>
      <c r="I1784" s="194"/>
      <c r="J1784" s="194"/>
      <c r="K1784" s="194"/>
      <c r="L1784" s="194"/>
    </row>
    <row r="1785" spans="1:12" x14ac:dyDescent="0.3">
      <c r="A1785" s="194"/>
      <c r="B1785" s="194"/>
      <c r="C1785" s="194"/>
      <c r="D1785" s="194"/>
      <c r="E1785" s="194"/>
      <c r="F1785" s="194"/>
      <c r="G1785" s="194"/>
      <c r="H1785" s="194"/>
      <c r="I1785" s="194"/>
      <c r="J1785" s="194"/>
      <c r="K1785" s="194"/>
      <c r="L1785" s="194"/>
    </row>
    <row r="1786" spans="1:12" x14ac:dyDescent="0.3">
      <c r="A1786" s="194"/>
      <c r="B1786" s="194"/>
      <c r="C1786" s="194"/>
      <c r="D1786" s="194"/>
      <c r="E1786" s="194"/>
      <c r="F1786" s="194"/>
      <c r="G1786" s="194"/>
      <c r="H1786" s="194"/>
      <c r="I1786" s="194"/>
      <c r="J1786" s="194"/>
      <c r="K1786" s="194"/>
      <c r="L1786" s="194"/>
    </row>
    <row r="1787" spans="1:12" x14ac:dyDescent="0.3">
      <c r="A1787" s="194"/>
      <c r="B1787" s="194"/>
      <c r="C1787" s="194"/>
      <c r="D1787" s="194"/>
      <c r="E1787" s="194"/>
      <c r="F1787" s="194"/>
      <c r="G1787" s="194"/>
      <c r="H1787" s="194"/>
      <c r="I1787" s="194"/>
      <c r="J1787" s="194"/>
      <c r="K1787" s="194"/>
      <c r="L1787" s="194"/>
    </row>
    <row r="1788" spans="1:12" x14ac:dyDescent="0.3">
      <c r="A1788" s="194"/>
      <c r="B1788" s="194"/>
      <c r="C1788" s="194"/>
      <c r="D1788" s="194"/>
      <c r="E1788" s="194"/>
      <c r="F1788" s="194"/>
      <c r="G1788" s="194"/>
      <c r="H1788" s="194"/>
      <c r="I1788" s="194"/>
      <c r="J1788" s="194"/>
      <c r="K1788" s="194"/>
      <c r="L1788" s="194"/>
    </row>
    <row r="1789" spans="1:12" x14ac:dyDescent="0.3">
      <c r="A1789" s="194"/>
      <c r="B1789" s="194"/>
      <c r="C1789" s="194"/>
      <c r="D1789" s="194"/>
      <c r="E1789" s="194"/>
      <c r="F1789" s="194"/>
      <c r="G1789" s="194"/>
      <c r="H1789" s="194"/>
      <c r="I1789" s="194"/>
      <c r="J1789" s="194"/>
      <c r="K1789" s="194"/>
      <c r="L1789" s="194"/>
    </row>
    <row r="1790" spans="1:12" x14ac:dyDescent="0.3">
      <c r="A1790" s="194"/>
      <c r="B1790" s="194"/>
      <c r="C1790" s="194"/>
      <c r="D1790" s="194"/>
      <c r="E1790" s="194"/>
      <c r="F1790" s="194"/>
      <c r="G1790" s="194"/>
      <c r="H1790" s="194"/>
      <c r="I1790" s="194"/>
      <c r="J1790" s="194"/>
      <c r="K1790" s="194"/>
      <c r="L1790" s="194"/>
    </row>
    <row r="1791" spans="1:12" x14ac:dyDescent="0.3">
      <c r="A1791" s="194"/>
      <c r="B1791" s="194"/>
      <c r="C1791" s="194"/>
      <c r="D1791" s="194"/>
      <c r="E1791" s="194"/>
      <c r="F1791" s="194"/>
      <c r="G1791" s="194"/>
      <c r="H1791" s="194"/>
      <c r="I1791" s="194"/>
      <c r="J1791" s="194"/>
      <c r="K1791" s="194"/>
      <c r="L1791" s="194"/>
    </row>
    <row r="1792" spans="1:12" x14ac:dyDescent="0.3">
      <c r="A1792" s="194"/>
      <c r="B1792" s="194"/>
      <c r="C1792" s="194"/>
      <c r="D1792" s="194"/>
      <c r="E1792" s="194"/>
      <c r="F1792" s="194"/>
      <c r="G1792" s="194"/>
      <c r="H1792" s="194"/>
      <c r="I1792" s="194"/>
      <c r="J1792" s="194"/>
      <c r="K1792" s="194"/>
      <c r="L1792" s="194"/>
    </row>
    <row r="1793" spans="1:12" x14ac:dyDescent="0.3">
      <c r="A1793" s="194"/>
      <c r="B1793" s="194"/>
      <c r="C1793" s="194"/>
      <c r="D1793" s="194"/>
      <c r="E1793" s="194"/>
      <c r="F1793" s="194"/>
      <c r="G1793" s="194"/>
      <c r="H1793" s="194"/>
      <c r="I1793" s="194"/>
      <c r="J1793" s="194"/>
      <c r="K1793" s="194"/>
      <c r="L1793" s="194"/>
    </row>
    <row r="1794" spans="1:12" x14ac:dyDescent="0.3">
      <c r="A1794" s="194"/>
      <c r="B1794" s="194"/>
      <c r="C1794" s="194"/>
      <c r="D1794" s="194"/>
      <c r="E1794" s="194"/>
      <c r="F1794" s="194"/>
      <c r="G1794" s="194"/>
      <c r="H1794" s="194"/>
      <c r="I1794" s="194"/>
      <c r="J1794" s="194"/>
      <c r="K1794" s="194"/>
      <c r="L1794" s="194"/>
    </row>
    <row r="1795" spans="1:12" x14ac:dyDescent="0.3">
      <c r="A1795" s="194"/>
      <c r="B1795" s="194"/>
      <c r="C1795" s="194"/>
      <c r="D1795" s="194"/>
      <c r="E1795" s="194"/>
      <c r="F1795" s="194"/>
      <c r="G1795" s="194"/>
      <c r="H1795" s="194"/>
      <c r="I1795" s="194"/>
      <c r="J1795" s="194"/>
      <c r="K1795" s="194"/>
      <c r="L1795" s="194"/>
    </row>
    <row r="1796" spans="1:12" x14ac:dyDescent="0.3">
      <c r="A1796" s="194"/>
      <c r="B1796" s="194"/>
      <c r="C1796" s="194"/>
      <c r="D1796" s="194"/>
      <c r="E1796" s="194"/>
      <c r="F1796" s="194"/>
      <c r="G1796" s="194"/>
      <c r="H1796" s="194"/>
      <c r="I1796" s="194"/>
      <c r="J1796" s="194"/>
      <c r="K1796" s="194"/>
      <c r="L1796" s="194"/>
    </row>
    <row r="1797" spans="1:12" x14ac:dyDescent="0.3">
      <c r="A1797" s="194"/>
      <c r="B1797" s="194"/>
      <c r="C1797" s="194"/>
      <c r="D1797" s="194"/>
      <c r="E1797" s="194"/>
      <c r="F1797" s="194"/>
      <c r="G1797" s="194"/>
      <c r="H1797" s="194"/>
      <c r="I1797" s="194"/>
      <c r="J1797" s="194"/>
      <c r="K1797" s="194"/>
      <c r="L1797" s="194"/>
    </row>
    <row r="1798" spans="1:12" x14ac:dyDescent="0.3">
      <c r="A1798" s="194"/>
      <c r="B1798" s="194"/>
      <c r="C1798" s="194"/>
      <c r="D1798" s="194"/>
      <c r="E1798" s="194"/>
      <c r="F1798" s="194"/>
      <c r="G1798" s="194"/>
      <c r="H1798" s="194"/>
      <c r="I1798" s="194"/>
      <c r="J1798" s="194"/>
      <c r="K1798" s="194"/>
      <c r="L1798" s="194"/>
    </row>
    <row r="1799" spans="1:12" x14ac:dyDescent="0.3">
      <c r="A1799" s="194"/>
      <c r="B1799" s="194"/>
      <c r="C1799" s="194"/>
      <c r="D1799" s="194"/>
      <c r="E1799" s="194"/>
      <c r="F1799" s="194"/>
      <c r="G1799" s="194"/>
      <c r="H1799" s="194"/>
      <c r="I1799" s="194"/>
      <c r="J1799" s="194"/>
      <c r="K1799" s="194"/>
      <c r="L1799" s="194"/>
    </row>
    <row r="1800" spans="1:12" x14ac:dyDescent="0.3">
      <c r="A1800" s="194"/>
      <c r="B1800" s="194"/>
      <c r="C1800" s="194"/>
      <c r="D1800" s="194"/>
      <c r="E1800" s="194"/>
      <c r="F1800" s="194"/>
      <c r="G1800" s="194"/>
      <c r="H1800" s="194"/>
      <c r="I1800" s="194"/>
      <c r="J1800" s="194"/>
      <c r="K1800" s="194"/>
      <c r="L1800" s="194"/>
    </row>
    <row r="1801" spans="1:12" x14ac:dyDescent="0.3">
      <c r="A1801" s="194"/>
      <c r="B1801" s="194"/>
      <c r="C1801" s="194"/>
      <c r="D1801" s="194"/>
      <c r="E1801" s="194"/>
      <c r="F1801" s="194"/>
      <c r="G1801" s="194"/>
      <c r="H1801" s="194"/>
      <c r="I1801" s="194"/>
      <c r="J1801" s="194"/>
      <c r="K1801" s="194"/>
      <c r="L1801" s="194"/>
    </row>
    <row r="1802" spans="1:12" x14ac:dyDescent="0.3">
      <c r="A1802" s="194"/>
      <c r="B1802" s="194"/>
      <c r="C1802" s="194"/>
      <c r="D1802" s="194"/>
      <c r="E1802" s="194"/>
      <c r="F1802" s="194"/>
      <c r="G1802" s="194"/>
      <c r="H1802" s="194"/>
      <c r="I1802" s="194"/>
      <c r="J1802" s="194"/>
      <c r="K1802" s="194"/>
      <c r="L1802" s="194"/>
    </row>
    <row r="1803" spans="1:12" x14ac:dyDescent="0.3">
      <c r="A1803" s="194"/>
      <c r="B1803" s="194"/>
      <c r="C1803" s="194"/>
      <c r="D1803" s="194"/>
      <c r="E1803" s="194"/>
      <c r="F1803" s="194"/>
      <c r="G1803" s="194"/>
      <c r="H1803" s="194"/>
      <c r="I1803" s="194"/>
      <c r="J1803" s="194"/>
      <c r="K1803" s="194"/>
      <c r="L1803" s="194"/>
    </row>
    <row r="1804" spans="1:12" x14ac:dyDescent="0.3">
      <c r="A1804" s="194"/>
      <c r="B1804" s="194"/>
      <c r="C1804" s="194"/>
      <c r="D1804" s="194"/>
      <c r="E1804" s="194"/>
      <c r="F1804" s="194"/>
      <c r="G1804" s="194"/>
      <c r="H1804" s="194"/>
      <c r="I1804" s="194"/>
      <c r="J1804" s="194"/>
      <c r="K1804" s="194"/>
      <c r="L1804" s="194"/>
    </row>
    <row r="1805" spans="1:12" x14ac:dyDescent="0.3">
      <c r="A1805" s="194"/>
      <c r="B1805" s="194"/>
      <c r="C1805" s="194"/>
      <c r="D1805" s="194"/>
      <c r="E1805" s="194"/>
      <c r="F1805" s="194"/>
      <c r="G1805" s="194"/>
      <c r="H1805" s="194"/>
      <c r="I1805" s="194"/>
      <c r="J1805" s="194"/>
      <c r="K1805" s="194"/>
      <c r="L1805" s="194"/>
    </row>
    <row r="1806" spans="1:12" x14ac:dyDescent="0.3">
      <c r="A1806" s="194"/>
      <c r="B1806" s="194"/>
      <c r="C1806" s="194"/>
      <c r="D1806" s="194"/>
      <c r="E1806" s="194"/>
      <c r="F1806" s="194"/>
      <c r="G1806" s="194"/>
      <c r="H1806" s="194"/>
      <c r="I1806" s="194"/>
      <c r="J1806" s="194"/>
      <c r="K1806" s="194"/>
      <c r="L1806" s="194"/>
    </row>
    <row r="1807" spans="1:12" x14ac:dyDescent="0.3">
      <c r="A1807" s="194"/>
      <c r="B1807" s="194"/>
      <c r="C1807" s="194"/>
      <c r="D1807" s="194"/>
      <c r="E1807" s="194"/>
      <c r="F1807" s="194"/>
      <c r="G1807" s="194"/>
      <c r="H1807" s="194"/>
      <c r="I1807" s="194"/>
      <c r="J1807" s="194"/>
      <c r="K1807" s="194"/>
      <c r="L1807" s="194"/>
    </row>
    <row r="1808" spans="1:12" x14ac:dyDescent="0.3">
      <c r="A1808" s="194"/>
      <c r="B1808" s="194"/>
      <c r="C1808" s="194"/>
      <c r="D1808" s="194"/>
      <c r="E1808" s="194"/>
      <c r="F1808" s="194"/>
      <c r="G1808" s="194"/>
      <c r="H1808" s="194"/>
      <c r="I1808" s="194"/>
      <c r="J1808" s="194"/>
      <c r="K1808" s="194"/>
      <c r="L1808" s="194"/>
    </row>
    <row r="1809" spans="1:12" x14ac:dyDescent="0.3">
      <c r="A1809" s="194"/>
      <c r="B1809" s="194"/>
      <c r="C1809" s="194"/>
      <c r="D1809" s="194"/>
      <c r="E1809" s="194"/>
      <c r="F1809" s="194"/>
      <c r="G1809" s="194"/>
      <c r="H1809" s="194"/>
      <c r="I1809" s="194"/>
      <c r="J1809" s="194"/>
      <c r="K1809" s="194"/>
      <c r="L1809" s="194"/>
    </row>
    <row r="1810" spans="1:12" x14ac:dyDescent="0.3">
      <c r="A1810" s="194"/>
      <c r="B1810" s="194"/>
      <c r="C1810" s="194"/>
      <c r="D1810" s="194"/>
      <c r="E1810" s="194"/>
      <c r="F1810" s="194"/>
      <c r="G1810" s="194"/>
      <c r="H1810" s="194"/>
      <c r="I1810" s="194"/>
      <c r="J1810" s="194"/>
      <c r="K1810" s="194"/>
      <c r="L1810" s="194"/>
    </row>
    <row r="1811" spans="1:12" x14ac:dyDescent="0.3">
      <c r="A1811" s="194"/>
      <c r="B1811" s="194"/>
      <c r="C1811" s="194"/>
      <c r="D1811" s="194"/>
      <c r="E1811" s="194"/>
      <c r="F1811" s="194"/>
      <c r="G1811" s="194"/>
      <c r="H1811" s="194"/>
      <c r="I1811" s="194"/>
      <c r="J1811" s="194"/>
      <c r="K1811" s="194"/>
      <c r="L1811" s="194"/>
    </row>
    <row r="1812" spans="1:12" x14ac:dyDescent="0.3">
      <c r="A1812" s="194"/>
      <c r="B1812" s="194"/>
      <c r="C1812" s="194"/>
      <c r="D1812" s="194"/>
      <c r="E1812" s="194"/>
      <c r="F1812" s="194"/>
      <c r="G1812" s="194"/>
      <c r="H1812" s="194"/>
      <c r="I1812" s="194"/>
      <c r="J1812" s="194"/>
      <c r="K1812" s="194"/>
      <c r="L1812" s="194"/>
    </row>
    <row r="1813" spans="1:12" x14ac:dyDescent="0.3">
      <c r="A1813" s="194"/>
      <c r="B1813" s="194"/>
      <c r="C1813" s="194"/>
      <c r="D1813" s="194"/>
      <c r="E1813" s="194"/>
      <c r="F1813" s="194"/>
      <c r="G1813" s="194"/>
      <c r="H1813" s="194"/>
      <c r="I1813" s="194"/>
      <c r="J1813" s="194"/>
      <c r="K1813" s="194"/>
      <c r="L1813" s="194"/>
    </row>
    <row r="1814" spans="1:12" x14ac:dyDescent="0.3">
      <c r="A1814" s="194"/>
      <c r="B1814" s="194"/>
      <c r="C1814" s="194"/>
      <c r="D1814" s="194"/>
      <c r="E1814" s="194"/>
      <c r="F1814" s="194"/>
      <c r="G1814" s="194"/>
      <c r="H1814" s="194"/>
      <c r="I1814" s="194"/>
      <c r="J1814" s="194"/>
      <c r="K1814" s="194"/>
      <c r="L1814" s="194"/>
    </row>
    <row r="1815" spans="1:12" x14ac:dyDescent="0.3">
      <c r="A1815" s="194"/>
      <c r="B1815" s="194"/>
      <c r="C1815" s="194"/>
      <c r="D1815" s="194"/>
      <c r="E1815" s="194"/>
      <c r="F1815" s="194"/>
      <c r="G1815" s="194"/>
      <c r="H1815" s="194"/>
      <c r="I1815" s="194"/>
      <c r="J1815" s="194"/>
      <c r="K1815" s="194"/>
      <c r="L1815" s="194"/>
    </row>
    <row r="1816" spans="1:12" x14ac:dyDescent="0.3">
      <c r="A1816" s="194"/>
      <c r="B1816" s="194"/>
      <c r="C1816" s="194"/>
      <c r="D1816" s="194"/>
      <c r="E1816" s="194"/>
      <c r="F1816" s="194"/>
      <c r="G1816" s="194"/>
      <c r="H1816" s="194"/>
      <c r="I1816" s="194"/>
      <c r="J1816" s="194"/>
      <c r="K1816" s="194"/>
      <c r="L1816" s="194"/>
    </row>
    <row r="1817" spans="1:12" x14ac:dyDescent="0.3">
      <c r="A1817" s="194"/>
      <c r="B1817" s="194"/>
      <c r="C1817" s="194"/>
      <c r="D1817" s="194"/>
      <c r="E1817" s="194"/>
      <c r="F1817" s="194"/>
      <c r="G1817" s="194"/>
      <c r="H1817" s="194"/>
      <c r="I1817" s="194"/>
      <c r="J1817" s="194"/>
      <c r="K1817" s="194"/>
      <c r="L1817" s="194"/>
    </row>
    <row r="1818" spans="1:12" x14ac:dyDescent="0.3">
      <c r="A1818" s="194"/>
      <c r="B1818" s="194"/>
      <c r="C1818" s="194"/>
      <c r="D1818" s="194"/>
      <c r="E1818" s="194"/>
      <c r="F1818" s="194"/>
      <c r="G1818" s="194"/>
      <c r="H1818" s="194"/>
      <c r="I1818" s="194"/>
      <c r="J1818" s="194"/>
      <c r="K1818" s="194"/>
      <c r="L1818" s="194"/>
    </row>
    <row r="1819" spans="1:12" x14ac:dyDescent="0.3">
      <c r="A1819" s="194"/>
      <c r="B1819" s="194"/>
      <c r="C1819" s="194"/>
      <c r="D1819" s="194"/>
      <c r="E1819" s="194"/>
      <c r="F1819" s="194"/>
      <c r="G1819" s="194"/>
      <c r="H1819" s="194"/>
      <c r="I1819" s="194"/>
      <c r="J1819" s="194"/>
      <c r="K1819" s="194"/>
      <c r="L1819" s="194"/>
    </row>
    <row r="1820" spans="1:12" x14ac:dyDescent="0.3">
      <c r="A1820" s="194"/>
      <c r="B1820" s="194"/>
      <c r="C1820" s="194"/>
      <c r="D1820" s="194"/>
      <c r="E1820" s="194"/>
      <c r="F1820" s="194"/>
      <c r="G1820" s="194"/>
      <c r="H1820" s="194"/>
      <c r="I1820" s="194"/>
      <c r="J1820" s="194"/>
      <c r="K1820" s="194"/>
      <c r="L1820" s="194"/>
    </row>
    <row r="1821" spans="1:12" x14ac:dyDescent="0.3">
      <c r="A1821" s="194"/>
      <c r="B1821" s="194"/>
      <c r="C1821" s="194"/>
      <c r="D1821" s="194"/>
      <c r="E1821" s="194"/>
      <c r="F1821" s="194"/>
      <c r="G1821" s="194"/>
      <c r="H1821" s="194"/>
      <c r="I1821" s="194"/>
      <c r="J1821" s="194"/>
      <c r="K1821" s="194"/>
      <c r="L1821" s="194"/>
    </row>
    <row r="1822" spans="1:12" x14ac:dyDescent="0.3">
      <c r="A1822" s="194"/>
      <c r="B1822" s="194"/>
      <c r="C1822" s="194"/>
      <c r="D1822" s="194"/>
      <c r="E1822" s="194"/>
      <c r="F1822" s="194"/>
      <c r="G1822" s="194"/>
      <c r="H1822" s="194"/>
      <c r="I1822" s="194"/>
      <c r="J1822" s="194"/>
      <c r="K1822" s="194"/>
      <c r="L1822" s="194"/>
    </row>
    <row r="1823" spans="1:12" x14ac:dyDescent="0.3">
      <c r="A1823" s="194"/>
      <c r="B1823" s="194"/>
      <c r="C1823" s="194"/>
      <c r="D1823" s="194"/>
      <c r="E1823" s="194"/>
      <c r="F1823" s="194"/>
      <c r="G1823" s="194"/>
      <c r="H1823" s="194"/>
      <c r="I1823" s="194"/>
      <c r="J1823" s="194"/>
      <c r="K1823" s="194"/>
      <c r="L1823" s="194"/>
    </row>
    <row r="1824" spans="1:12" x14ac:dyDescent="0.3">
      <c r="A1824" s="194"/>
      <c r="B1824" s="194"/>
      <c r="C1824" s="194"/>
      <c r="D1824" s="194"/>
      <c r="E1824" s="194"/>
      <c r="F1824" s="194"/>
      <c r="G1824" s="194"/>
      <c r="H1824" s="194"/>
      <c r="I1824" s="194"/>
      <c r="J1824" s="194"/>
      <c r="K1824" s="194"/>
      <c r="L1824" s="194"/>
    </row>
    <row r="1825" spans="1:12" x14ac:dyDescent="0.3">
      <c r="A1825" s="194"/>
      <c r="B1825" s="194"/>
      <c r="C1825" s="194"/>
      <c r="D1825" s="194"/>
      <c r="E1825" s="194"/>
      <c r="F1825" s="194"/>
      <c r="G1825" s="194"/>
      <c r="H1825" s="194"/>
      <c r="I1825" s="194"/>
      <c r="J1825" s="194"/>
      <c r="K1825" s="194"/>
      <c r="L1825" s="194"/>
    </row>
    <row r="1826" spans="1:12" x14ac:dyDescent="0.3">
      <c r="A1826" s="194"/>
      <c r="B1826" s="194"/>
      <c r="C1826" s="194"/>
      <c r="D1826" s="194"/>
      <c r="E1826" s="194"/>
      <c r="F1826" s="194"/>
      <c r="G1826" s="194"/>
      <c r="H1826" s="194"/>
      <c r="I1826" s="194"/>
      <c r="J1826" s="194"/>
      <c r="K1826" s="194"/>
      <c r="L1826" s="194"/>
    </row>
    <row r="1827" spans="1:12" x14ac:dyDescent="0.3">
      <c r="A1827" s="194"/>
      <c r="B1827" s="194"/>
      <c r="C1827" s="194"/>
      <c r="D1827" s="194"/>
      <c r="E1827" s="194"/>
      <c r="F1827" s="194"/>
      <c r="G1827" s="194"/>
      <c r="H1827" s="194"/>
      <c r="I1827" s="194"/>
      <c r="J1827" s="194"/>
      <c r="K1827" s="194"/>
      <c r="L1827" s="194"/>
    </row>
    <row r="1828" spans="1:12" x14ac:dyDescent="0.3">
      <c r="A1828" s="194"/>
      <c r="B1828" s="194"/>
      <c r="C1828" s="194"/>
      <c r="D1828" s="194"/>
      <c r="E1828" s="194"/>
      <c r="F1828" s="194"/>
      <c r="G1828" s="194"/>
      <c r="H1828" s="194"/>
      <c r="I1828" s="194"/>
      <c r="J1828" s="194"/>
      <c r="K1828" s="194"/>
      <c r="L1828" s="194"/>
    </row>
    <row r="1829" spans="1:12" x14ac:dyDescent="0.3">
      <c r="A1829" s="194"/>
      <c r="B1829" s="194"/>
      <c r="C1829" s="194"/>
      <c r="D1829" s="194"/>
      <c r="E1829" s="194"/>
      <c r="F1829" s="194"/>
      <c r="G1829" s="194"/>
      <c r="H1829" s="194"/>
      <c r="I1829" s="194"/>
      <c r="J1829" s="194"/>
      <c r="K1829" s="194"/>
      <c r="L1829" s="194"/>
    </row>
    <row r="1830" spans="1:12" x14ac:dyDescent="0.3">
      <c r="A1830" s="194"/>
      <c r="B1830" s="194"/>
      <c r="C1830" s="194"/>
      <c r="D1830" s="194"/>
      <c r="E1830" s="194"/>
      <c r="F1830" s="194"/>
      <c r="G1830" s="194"/>
      <c r="H1830" s="194"/>
      <c r="I1830" s="194"/>
      <c r="J1830" s="194"/>
      <c r="K1830" s="194"/>
      <c r="L1830" s="194"/>
    </row>
    <row r="1831" spans="1:12" x14ac:dyDescent="0.3">
      <c r="A1831" s="194"/>
      <c r="B1831" s="194"/>
      <c r="C1831" s="194"/>
      <c r="D1831" s="194"/>
      <c r="E1831" s="194"/>
      <c r="F1831" s="194"/>
      <c r="G1831" s="194"/>
      <c r="H1831" s="194"/>
      <c r="I1831" s="194"/>
      <c r="J1831" s="194"/>
      <c r="K1831" s="194"/>
      <c r="L1831" s="194"/>
    </row>
    <row r="1832" spans="1:12" x14ac:dyDescent="0.3">
      <c r="A1832" s="194"/>
      <c r="B1832" s="194"/>
      <c r="C1832" s="194"/>
      <c r="D1832" s="194"/>
      <c r="E1832" s="194"/>
      <c r="F1832" s="194"/>
      <c r="G1832" s="194"/>
      <c r="H1832" s="194"/>
      <c r="I1832" s="194"/>
      <c r="J1832" s="194"/>
      <c r="K1832" s="194"/>
      <c r="L1832" s="194"/>
    </row>
    <row r="1833" spans="1:12" x14ac:dyDescent="0.3">
      <c r="A1833" s="194"/>
      <c r="B1833" s="194"/>
      <c r="C1833" s="194"/>
      <c r="D1833" s="194"/>
      <c r="E1833" s="194"/>
      <c r="F1833" s="194"/>
      <c r="G1833" s="194"/>
      <c r="H1833" s="194"/>
      <c r="I1833" s="194"/>
      <c r="J1833" s="194"/>
      <c r="K1833" s="194"/>
      <c r="L1833" s="194"/>
    </row>
    <row r="1834" spans="1:12" x14ac:dyDescent="0.3">
      <c r="A1834" s="194"/>
      <c r="B1834" s="194"/>
      <c r="C1834" s="194"/>
      <c r="D1834" s="194"/>
      <c r="E1834" s="194"/>
      <c r="F1834" s="194"/>
      <c r="G1834" s="194"/>
      <c r="H1834" s="194"/>
      <c r="I1834" s="194"/>
      <c r="J1834" s="194"/>
      <c r="K1834" s="194"/>
      <c r="L1834" s="194"/>
    </row>
    <row r="1835" spans="1:12" x14ac:dyDescent="0.3">
      <c r="A1835" s="194"/>
      <c r="B1835" s="194"/>
      <c r="C1835" s="194"/>
      <c r="D1835" s="194"/>
      <c r="E1835" s="194"/>
      <c r="F1835" s="194"/>
      <c r="G1835" s="194"/>
      <c r="H1835" s="194"/>
      <c r="I1835" s="194"/>
      <c r="J1835" s="194"/>
      <c r="K1835" s="194"/>
      <c r="L1835" s="194"/>
    </row>
    <row r="1836" spans="1:12" x14ac:dyDescent="0.3">
      <c r="A1836" s="194"/>
      <c r="B1836" s="194"/>
      <c r="C1836" s="194"/>
      <c r="D1836" s="194"/>
      <c r="E1836" s="194"/>
      <c r="F1836" s="194"/>
      <c r="G1836" s="194"/>
      <c r="H1836" s="194"/>
      <c r="I1836" s="194"/>
      <c r="J1836" s="194"/>
      <c r="K1836" s="194"/>
      <c r="L1836" s="194"/>
    </row>
    <row r="1837" spans="1:12" x14ac:dyDescent="0.3">
      <c r="A1837" s="194"/>
      <c r="B1837" s="194"/>
      <c r="C1837" s="194"/>
      <c r="D1837" s="194"/>
      <c r="E1837" s="194"/>
      <c r="F1837" s="194"/>
      <c r="G1837" s="194"/>
      <c r="H1837" s="194"/>
      <c r="I1837" s="194"/>
      <c r="J1837" s="194"/>
      <c r="K1837" s="194"/>
      <c r="L1837" s="194"/>
    </row>
    <row r="1838" spans="1:12" x14ac:dyDescent="0.3">
      <c r="A1838" s="194"/>
      <c r="B1838" s="194"/>
      <c r="C1838" s="194"/>
      <c r="D1838" s="194"/>
      <c r="E1838" s="194"/>
      <c r="F1838" s="194"/>
      <c r="G1838" s="194"/>
      <c r="H1838" s="194"/>
      <c r="I1838" s="194"/>
      <c r="J1838" s="194"/>
      <c r="K1838" s="194"/>
      <c r="L1838" s="194"/>
    </row>
    <row r="1839" spans="1:12" x14ac:dyDescent="0.3">
      <c r="A1839" s="194"/>
      <c r="B1839" s="194"/>
      <c r="C1839" s="194"/>
      <c r="D1839" s="194"/>
      <c r="E1839" s="194"/>
      <c r="F1839" s="194"/>
      <c r="G1839" s="194"/>
      <c r="H1839" s="194"/>
      <c r="I1839" s="194"/>
      <c r="J1839" s="194"/>
      <c r="K1839" s="194"/>
      <c r="L1839" s="194"/>
    </row>
    <row r="1840" spans="1:12" x14ac:dyDescent="0.3">
      <c r="A1840" s="194"/>
      <c r="B1840" s="194"/>
      <c r="C1840" s="194"/>
      <c r="D1840" s="194"/>
      <c r="E1840" s="194"/>
      <c r="F1840" s="194"/>
      <c r="G1840" s="194"/>
      <c r="H1840" s="194"/>
      <c r="I1840" s="194"/>
      <c r="J1840" s="194"/>
      <c r="K1840" s="194"/>
      <c r="L1840" s="194"/>
    </row>
    <row r="1841" spans="1:12" x14ac:dyDescent="0.3">
      <c r="A1841" s="194"/>
      <c r="B1841" s="194"/>
      <c r="C1841" s="194"/>
      <c r="D1841" s="194"/>
      <c r="E1841" s="194"/>
      <c r="F1841" s="194"/>
      <c r="G1841" s="194"/>
      <c r="H1841" s="194"/>
      <c r="I1841" s="194"/>
      <c r="J1841" s="194"/>
      <c r="K1841" s="194"/>
      <c r="L1841" s="194"/>
    </row>
    <row r="1842" spans="1:12" x14ac:dyDescent="0.3">
      <c r="A1842" s="194"/>
      <c r="B1842" s="194"/>
      <c r="C1842" s="194"/>
      <c r="D1842" s="194"/>
      <c r="E1842" s="194"/>
      <c r="F1842" s="194"/>
      <c r="G1842" s="194"/>
      <c r="H1842" s="194"/>
      <c r="I1842" s="194"/>
      <c r="J1842" s="194"/>
      <c r="K1842" s="194"/>
      <c r="L1842" s="194"/>
    </row>
    <row r="1843" spans="1:12" x14ac:dyDescent="0.3">
      <c r="A1843" s="194"/>
      <c r="B1843" s="194"/>
      <c r="C1843" s="194"/>
      <c r="D1843" s="194"/>
      <c r="E1843" s="194"/>
      <c r="F1843" s="194"/>
      <c r="G1843" s="194"/>
      <c r="H1843" s="194"/>
      <c r="I1843" s="194"/>
      <c r="J1843" s="194"/>
      <c r="K1843" s="194"/>
      <c r="L1843" s="194"/>
    </row>
    <row r="1844" spans="1:12" x14ac:dyDescent="0.3">
      <c r="A1844" s="194"/>
      <c r="B1844" s="194"/>
      <c r="C1844" s="194"/>
      <c r="D1844" s="194"/>
      <c r="E1844" s="194"/>
      <c r="F1844" s="194"/>
      <c r="G1844" s="194"/>
      <c r="H1844" s="194"/>
      <c r="I1844" s="194"/>
      <c r="J1844" s="194"/>
      <c r="K1844" s="194"/>
      <c r="L1844" s="194"/>
    </row>
    <row r="1845" spans="1:12" x14ac:dyDescent="0.3">
      <c r="A1845" s="194"/>
      <c r="B1845" s="194"/>
      <c r="C1845" s="194"/>
      <c r="D1845" s="194"/>
      <c r="E1845" s="194"/>
      <c r="F1845" s="194"/>
      <c r="G1845" s="194"/>
      <c r="H1845" s="194"/>
      <c r="I1845" s="194"/>
      <c r="J1845" s="194"/>
      <c r="K1845" s="194"/>
      <c r="L1845" s="194"/>
    </row>
    <row r="1846" spans="1:12" x14ac:dyDescent="0.3">
      <c r="A1846" s="194"/>
      <c r="B1846" s="194"/>
      <c r="C1846" s="194"/>
      <c r="D1846" s="194"/>
      <c r="E1846" s="194"/>
      <c r="F1846" s="194"/>
      <c r="G1846" s="194"/>
      <c r="H1846" s="194"/>
      <c r="I1846" s="194"/>
      <c r="J1846" s="194"/>
      <c r="K1846" s="194"/>
      <c r="L1846" s="194"/>
    </row>
    <row r="1847" spans="1:12" x14ac:dyDescent="0.3">
      <c r="A1847" s="194"/>
      <c r="B1847" s="194"/>
      <c r="C1847" s="194"/>
      <c r="D1847" s="194"/>
      <c r="E1847" s="194"/>
      <c r="F1847" s="194"/>
      <c r="G1847" s="194"/>
      <c r="H1847" s="194"/>
      <c r="I1847" s="194"/>
      <c r="J1847" s="194"/>
      <c r="K1847" s="194"/>
      <c r="L1847" s="194"/>
    </row>
    <row r="1848" spans="1:12" x14ac:dyDescent="0.3">
      <c r="A1848" s="194"/>
      <c r="B1848" s="194"/>
      <c r="C1848" s="194"/>
      <c r="D1848" s="194"/>
      <c r="E1848" s="194"/>
      <c r="F1848" s="194"/>
      <c r="G1848" s="194"/>
      <c r="H1848" s="194"/>
      <c r="I1848" s="194"/>
      <c r="J1848" s="194"/>
      <c r="K1848" s="194"/>
      <c r="L1848" s="194"/>
    </row>
    <row r="1849" spans="1:12" x14ac:dyDescent="0.3">
      <c r="A1849" s="194"/>
      <c r="B1849" s="194"/>
      <c r="C1849" s="194"/>
      <c r="D1849" s="194"/>
      <c r="E1849" s="194"/>
      <c r="F1849" s="194"/>
      <c r="G1849" s="194"/>
      <c r="H1849" s="194"/>
      <c r="I1849" s="194"/>
      <c r="J1849" s="194"/>
      <c r="K1849" s="194"/>
      <c r="L1849" s="194"/>
    </row>
    <row r="1850" spans="1:12" x14ac:dyDescent="0.3">
      <c r="A1850" s="194"/>
      <c r="B1850" s="194"/>
      <c r="C1850" s="194"/>
      <c r="D1850" s="194"/>
      <c r="E1850" s="194"/>
      <c r="F1850" s="194"/>
      <c r="G1850" s="194"/>
      <c r="H1850" s="194"/>
      <c r="I1850" s="194"/>
      <c r="J1850" s="194"/>
      <c r="K1850" s="194"/>
      <c r="L1850" s="194"/>
    </row>
    <row r="1851" spans="1:12" x14ac:dyDescent="0.3">
      <c r="A1851" s="194"/>
      <c r="B1851" s="194"/>
      <c r="C1851" s="194"/>
      <c r="D1851" s="194"/>
      <c r="E1851" s="194"/>
      <c r="F1851" s="194"/>
      <c r="G1851" s="194"/>
      <c r="H1851" s="194"/>
      <c r="I1851" s="194"/>
      <c r="J1851" s="194"/>
      <c r="K1851" s="194"/>
      <c r="L1851" s="194"/>
    </row>
    <row r="1852" spans="1:12" x14ac:dyDescent="0.3">
      <c r="A1852" s="194"/>
      <c r="B1852" s="194"/>
      <c r="C1852" s="194"/>
      <c r="D1852" s="194"/>
      <c r="E1852" s="194"/>
      <c r="F1852" s="194"/>
      <c r="G1852" s="194"/>
      <c r="H1852" s="194"/>
      <c r="I1852" s="194"/>
      <c r="J1852" s="194"/>
      <c r="K1852" s="194"/>
      <c r="L1852" s="194"/>
    </row>
    <row r="1853" spans="1:12" x14ac:dyDescent="0.3">
      <c r="A1853" s="194"/>
      <c r="B1853" s="194"/>
      <c r="C1853" s="194"/>
      <c r="D1853" s="194"/>
      <c r="E1853" s="194"/>
      <c r="F1853" s="194"/>
      <c r="G1853" s="194"/>
      <c r="H1853" s="194"/>
      <c r="I1853" s="194"/>
      <c r="J1853" s="194"/>
      <c r="K1853" s="194"/>
      <c r="L1853" s="194"/>
    </row>
    <row r="1854" spans="1:12" x14ac:dyDescent="0.3">
      <c r="A1854" s="194"/>
      <c r="B1854" s="194"/>
      <c r="C1854" s="194"/>
      <c r="D1854" s="194"/>
      <c r="E1854" s="194"/>
      <c r="F1854" s="194"/>
      <c r="G1854" s="194"/>
      <c r="H1854" s="194"/>
      <c r="I1854" s="194"/>
      <c r="J1854" s="194"/>
      <c r="K1854" s="194"/>
      <c r="L1854" s="194"/>
    </row>
    <row r="1855" spans="1:12" x14ac:dyDescent="0.3">
      <c r="A1855" s="194"/>
      <c r="B1855" s="194"/>
      <c r="C1855" s="194"/>
      <c r="D1855" s="194"/>
      <c r="E1855" s="194"/>
      <c r="F1855" s="194"/>
      <c r="G1855" s="194"/>
      <c r="H1855" s="194"/>
      <c r="I1855" s="194"/>
      <c r="J1855" s="194"/>
      <c r="K1855" s="194"/>
      <c r="L1855" s="194"/>
    </row>
    <row r="1856" spans="1:12" x14ac:dyDescent="0.3">
      <c r="A1856" s="194"/>
      <c r="B1856" s="194"/>
      <c r="C1856" s="194"/>
      <c r="D1856" s="194"/>
      <c r="E1856" s="194"/>
      <c r="F1856" s="194"/>
      <c r="G1856" s="194"/>
      <c r="H1856" s="194"/>
      <c r="I1856" s="194"/>
      <c r="J1856" s="194"/>
      <c r="K1856" s="194"/>
      <c r="L1856" s="194"/>
    </row>
    <row r="1857" spans="1:12" x14ac:dyDescent="0.3">
      <c r="A1857" s="194"/>
      <c r="B1857" s="194"/>
      <c r="C1857" s="194"/>
      <c r="D1857" s="194"/>
      <c r="E1857" s="194"/>
      <c r="F1857" s="194"/>
      <c r="G1857" s="194"/>
      <c r="H1857" s="194"/>
      <c r="I1857" s="194"/>
      <c r="J1857" s="194"/>
      <c r="K1857" s="194"/>
      <c r="L1857" s="194"/>
    </row>
    <row r="1858" spans="1:12" x14ac:dyDescent="0.3">
      <c r="A1858" s="194"/>
      <c r="B1858" s="194"/>
      <c r="C1858" s="194"/>
      <c r="D1858" s="194"/>
      <c r="E1858" s="194"/>
      <c r="F1858" s="194"/>
      <c r="G1858" s="194"/>
      <c r="H1858" s="194"/>
      <c r="I1858" s="194"/>
      <c r="J1858" s="194"/>
      <c r="K1858" s="194"/>
      <c r="L1858" s="194"/>
    </row>
    <row r="1859" spans="1:12" x14ac:dyDescent="0.3">
      <c r="A1859" s="194"/>
      <c r="B1859" s="194"/>
      <c r="C1859" s="194"/>
      <c r="D1859" s="194"/>
      <c r="E1859" s="194"/>
      <c r="F1859" s="194"/>
      <c r="G1859" s="194"/>
      <c r="H1859" s="194"/>
      <c r="I1859" s="194"/>
      <c r="J1859" s="194"/>
      <c r="K1859" s="194"/>
      <c r="L1859" s="194"/>
    </row>
    <row r="1860" spans="1:12" x14ac:dyDescent="0.3">
      <c r="A1860" s="194"/>
      <c r="B1860" s="194"/>
      <c r="C1860" s="194"/>
      <c r="D1860" s="194"/>
      <c r="E1860" s="194"/>
      <c r="F1860" s="194"/>
      <c r="G1860" s="194"/>
      <c r="H1860" s="194"/>
      <c r="I1860" s="194"/>
      <c r="J1860" s="194"/>
      <c r="K1860" s="194"/>
      <c r="L1860" s="194"/>
    </row>
    <row r="1861" spans="1:12" x14ac:dyDescent="0.3">
      <c r="A1861" s="194"/>
      <c r="B1861" s="194"/>
      <c r="C1861" s="194"/>
      <c r="D1861" s="194"/>
      <c r="E1861" s="194"/>
      <c r="F1861" s="194"/>
      <c r="G1861" s="194"/>
      <c r="H1861" s="194"/>
      <c r="I1861" s="194"/>
      <c r="J1861" s="194"/>
      <c r="K1861" s="194"/>
      <c r="L1861" s="194"/>
    </row>
    <row r="1862" spans="1:12" x14ac:dyDescent="0.3">
      <c r="A1862" s="194"/>
      <c r="B1862" s="194"/>
      <c r="C1862" s="194"/>
      <c r="D1862" s="194"/>
      <c r="E1862" s="194"/>
      <c r="F1862" s="194"/>
      <c r="G1862" s="194"/>
      <c r="H1862" s="194"/>
      <c r="I1862" s="194"/>
      <c r="J1862" s="194"/>
      <c r="K1862" s="194"/>
      <c r="L1862" s="194"/>
    </row>
    <row r="1863" spans="1:12" x14ac:dyDescent="0.3">
      <c r="A1863" s="194"/>
      <c r="B1863" s="194"/>
      <c r="C1863" s="194"/>
      <c r="D1863" s="194"/>
      <c r="E1863" s="194"/>
      <c r="F1863" s="194"/>
      <c r="G1863" s="194"/>
      <c r="H1863" s="194"/>
      <c r="I1863" s="194"/>
      <c r="J1863" s="194"/>
      <c r="K1863" s="194"/>
      <c r="L1863" s="194"/>
    </row>
    <row r="1864" spans="1:12" x14ac:dyDescent="0.3">
      <c r="A1864" s="194"/>
      <c r="B1864" s="194"/>
      <c r="C1864" s="194"/>
      <c r="D1864" s="194"/>
      <c r="E1864" s="194"/>
      <c r="F1864" s="194"/>
      <c r="G1864" s="194"/>
      <c r="H1864" s="194"/>
      <c r="I1864" s="194"/>
      <c r="J1864" s="194"/>
      <c r="K1864" s="194"/>
      <c r="L1864" s="194"/>
    </row>
    <row r="1865" spans="1:12" x14ac:dyDescent="0.3">
      <c r="A1865" s="194"/>
      <c r="B1865" s="194"/>
      <c r="C1865" s="194"/>
      <c r="D1865" s="194"/>
      <c r="E1865" s="194"/>
      <c r="F1865" s="194"/>
      <c r="G1865" s="194"/>
      <c r="H1865" s="194"/>
      <c r="I1865" s="194"/>
      <c r="J1865" s="194"/>
      <c r="K1865" s="194"/>
      <c r="L1865" s="194"/>
    </row>
    <row r="1866" spans="1:12" x14ac:dyDescent="0.3">
      <c r="A1866" s="194"/>
      <c r="B1866" s="194"/>
      <c r="C1866" s="194"/>
      <c r="D1866" s="194"/>
      <c r="E1866" s="194"/>
      <c r="F1866" s="194"/>
      <c r="G1866" s="194"/>
      <c r="H1866" s="194"/>
      <c r="I1866" s="194"/>
      <c r="J1866" s="194"/>
      <c r="K1866" s="194"/>
      <c r="L1866" s="194"/>
    </row>
    <row r="1867" spans="1:12" x14ac:dyDescent="0.3">
      <c r="A1867" s="194"/>
      <c r="B1867" s="194"/>
      <c r="C1867" s="194"/>
      <c r="D1867" s="194"/>
      <c r="E1867" s="194"/>
      <c r="F1867" s="194"/>
      <c r="G1867" s="194"/>
      <c r="H1867" s="194"/>
      <c r="I1867" s="194"/>
      <c r="J1867" s="194"/>
      <c r="K1867" s="194"/>
      <c r="L1867" s="194"/>
    </row>
    <row r="1868" spans="1:12" x14ac:dyDescent="0.3">
      <c r="A1868" s="194"/>
      <c r="B1868" s="194"/>
      <c r="C1868" s="194"/>
      <c r="D1868" s="194"/>
      <c r="E1868" s="194"/>
      <c r="F1868" s="194"/>
      <c r="G1868" s="194"/>
      <c r="H1868" s="194"/>
      <c r="I1868" s="194"/>
      <c r="J1868" s="194"/>
      <c r="K1868" s="194"/>
      <c r="L1868" s="194"/>
    </row>
    <row r="1869" spans="1:12" x14ac:dyDescent="0.3">
      <c r="A1869" s="194"/>
      <c r="B1869" s="194"/>
      <c r="C1869" s="194"/>
      <c r="D1869" s="194"/>
      <c r="E1869" s="194"/>
      <c r="F1869" s="194"/>
      <c r="G1869" s="194"/>
      <c r="H1869" s="194"/>
      <c r="I1869" s="194"/>
      <c r="J1869" s="194"/>
      <c r="K1869" s="194"/>
      <c r="L1869" s="194"/>
    </row>
    <row r="1870" spans="1:12" x14ac:dyDescent="0.3">
      <c r="A1870" s="194"/>
      <c r="B1870" s="194"/>
      <c r="C1870" s="194"/>
      <c r="D1870" s="194"/>
      <c r="E1870" s="194"/>
      <c r="F1870" s="194"/>
      <c r="G1870" s="194"/>
      <c r="H1870" s="194"/>
      <c r="I1870" s="194"/>
      <c r="J1870" s="194"/>
      <c r="K1870" s="194"/>
      <c r="L1870" s="194"/>
    </row>
    <row r="1871" spans="1:12" x14ac:dyDescent="0.3">
      <c r="A1871" s="194"/>
      <c r="B1871" s="194"/>
      <c r="C1871" s="194"/>
      <c r="D1871" s="194"/>
      <c r="E1871" s="194"/>
      <c r="F1871" s="194"/>
      <c r="G1871" s="194"/>
      <c r="H1871" s="194"/>
      <c r="I1871" s="194"/>
      <c r="J1871" s="194"/>
      <c r="K1871" s="194"/>
      <c r="L1871" s="194"/>
    </row>
    <row r="1872" spans="1:12" x14ac:dyDescent="0.3">
      <c r="A1872" s="194"/>
      <c r="B1872" s="194"/>
      <c r="C1872" s="194"/>
      <c r="D1872" s="194"/>
      <c r="E1872" s="194"/>
      <c r="F1872" s="194"/>
      <c r="G1872" s="194"/>
      <c r="H1872" s="194"/>
      <c r="I1872" s="194"/>
      <c r="J1872" s="194"/>
      <c r="K1872" s="194"/>
      <c r="L1872" s="194"/>
    </row>
    <row r="1873" spans="1:12" x14ac:dyDescent="0.3">
      <c r="A1873" s="194"/>
      <c r="B1873" s="194"/>
      <c r="C1873" s="194"/>
      <c r="D1873" s="194"/>
      <c r="E1873" s="194"/>
      <c r="F1873" s="194"/>
      <c r="G1873" s="194"/>
      <c r="H1873" s="194"/>
      <c r="I1873" s="194"/>
      <c r="J1873" s="194"/>
      <c r="K1873" s="194"/>
      <c r="L1873" s="194"/>
    </row>
    <row r="1874" spans="1:12" x14ac:dyDescent="0.3">
      <c r="A1874" s="194"/>
      <c r="B1874" s="194"/>
      <c r="C1874" s="194"/>
      <c r="D1874" s="194"/>
      <c r="E1874" s="194"/>
      <c r="F1874" s="194"/>
      <c r="G1874" s="194"/>
      <c r="H1874" s="194"/>
      <c r="I1874" s="194"/>
      <c r="J1874" s="194"/>
      <c r="K1874" s="194"/>
      <c r="L1874" s="194"/>
    </row>
    <row r="1875" spans="1:12" x14ac:dyDescent="0.3">
      <c r="A1875" s="194"/>
      <c r="B1875" s="194"/>
      <c r="C1875" s="194"/>
      <c r="D1875" s="194"/>
      <c r="E1875" s="194"/>
      <c r="F1875" s="194"/>
      <c r="G1875" s="194"/>
      <c r="H1875" s="194"/>
      <c r="I1875" s="194"/>
      <c r="J1875" s="194"/>
      <c r="K1875" s="194"/>
      <c r="L1875" s="194"/>
    </row>
    <row r="1876" spans="1:12" x14ac:dyDescent="0.3">
      <c r="A1876" s="194"/>
      <c r="B1876" s="194"/>
      <c r="C1876" s="194"/>
      <c r="D1876" s="194"/>
      <c r="E1876" s="194"/>
      <c r="F1876" s="194"/>
      <c r="G1876" s="194"/>
      <c r="H1876" s="194"/>
      <c r="I1876" s="194"/>
      <c r="J1876" s="194"/>
      <c r="K1876" s="194"/>
      <c r="L1876" s="194"/>
    </row>
    <row r="1877" spans="1:12" x14ac:dyDescent="0.3">
      <c r="A1877" s="194"/>
      <c r="B1877" s="194"/>
      <c r="C1877" s="194"/>
      <c r="D1877" s="194"/>
      <c r="E1877" s="194"/>
      <c r="F1877" s="194"/>
      <c r="G1877" s="194"/>
      <c r="H1877" s="194"/>
      <c r="I1877" s="194"/>
      <c r="J1877" s="194"/>
      <c r="K1877" s="194"/>
      <c r="L1877" s="194"/>
    </row>
    <row r="1878" spans="1:12" x14ac:dyDescent="0.3">
      <c r="A1878" s="194"/>
      <c r="B1878" s="194"/>
      <c r="C1878" s="194"/>
      <c r="D1878" s="194"/>
      <c r="E1878" s="194"/>
      <c r="F1878" s="194"/>
      <c r="G1878" s="194"/>
      <c r="H1878" s="194"/>
      <c r="I1878" s="194"/>
      <c r="J1878" s="194"/>
      <c r="K1878" s="194"/>
      <c r="L1878" s="194"/>
    </row>
    <row r="1879" spans="1:12" x14ac:dyDescent="0.3">
      <c r="A1879" s="194"/>
      <c r="B1879" s="194"/>
      <c r="C1879" s="194"/>
      <c r="D1879" s="194"/>
      <c r="E1879" s="194"/>
      <c r="F1879" s="194"/>
      <c r="G1879" s="194"/>
      <c r="H1879" s="194"/>
      <c r="I1879" s="194"/>
      <c r="J1879" s="194"/>
      <c r="K1879" s="194"/>
      <c r="L1879" s="194"/>
    </row>
    <row r="1880" spans="1:12" x14ac:dyDescent="0.3">
      <c r="A1880" s="194"/>
      <c r="B1880" s="194"/>
      <c r="C1880" s="194"/>
      <c r="D1880" s="194"/>
      <c r="E1880" s="194"/>
      <c r="F1880" s="194"/>
      <c r="G1880" s="194"/>
      <c r="H1880" s="194"/>
      <c r="I1880" s="194"/>
      <c r="J1880" s="194"/>
      <c r="K1880" s="194"/>
      <c r="L1880" s="194"/>
    </row>
    <row r="1881" spans="1:12" x14ac:dyDescent="0.3">
      <c r="A1881" s="194"/>
      <c r="B1881" s="194"/>
      <c r="C1881" s="194"/>
      <c r="D1881" s="194"/>
      <c r="E1881" s="194"/>
      <c r="F1881" s="194"/>
      <c r="G1881" s="194"/>
      <c r="H1881" s="194"/>
      <c r="I1881" s="194"/>
      <c r="J1881" s="194"/>
      <c r="K1881" s="194"/>
      <c r="L1881" s="194"/>
    </row>
    <row r="1882" spans="1:12" x14ac:dyDescent="0.3">
      <c r="A1882" s="194"/>
      <c r="B1882" s="194"/>
      <c r="C1882" s="194"/>
      <c r="D1882" s="194"/>
      <c r="E1882" s="194"/>
      <c r="F1882" s="194"/>
      <c r="G1882" s="194"/>
      <c r="H1882" s="194"/>
      <c r="I1882" s="194"/>
      <c r="J1882" s="194"/>
      <c r="K1882" s="194"/>
      <c r="L1882" s="194"/>
    </row>
    <row r="1883" spans="1:12" x14ac:dyDescent="0.3">
      <c r="A1883" s="194"/>
      <c r="B1883" s="194"/>
      <c r="C1883" s="194"/>
      <c r="D1883" s="194"/>
      <c r="E1883" s="194"/>
      <c r="F1883" s="194"/>
      <c r="G1883" s="194"/>
      <c r="H1883" s="194"/>
      <c r="I1883" s="194"/>
      <c r="J1883" s="194"/>
      <c r="K1883" s="194"/>
      <c r="L1883" s="194"/>
    </row>
    <row r="1884" spans="1:12" x14ac:dyDescent="0.3">
      <c r="A1884" s="194"/>
      <c r="B1884" s="194"/>
      <c r="C1884" s="194"/>
      <c r="D1884" s="194"/>
      <c r="E1884" s="194"/>
      <c r="F1884" s="194"/>
      <c r="G1884" s="194"/>
      <c r="H1884" s="194"/>
      <c r="I1884" s="194"/>
      <c r="J1884" s="194"/>
      <c r="K1884" s="194"/>
      <c r="L1884" s="194"/>
    </row>
    <row r="1885" spans="1:12" x14ac:dyDescent="0.3">
      <c r="A1885" s="194"/>
      <c r="B1885" s="194"/>
      <c r="C1885" s="194"/>
      <c r="D1885" s="194"/>
      <c r="E1885" s="194"/>
      <c r="F1885" s="194"/>
      <c r="G1885" s="194"/>
      <c r="H1885" s="194"/>
      <c r="I1885" s="194"/>
      <c r="J1885" s="194"/>
      <c r="K1885" s="194"/>
      <c r="L1885" s="194"/>
    </row>
    <row r="1886" spans="1:12" x14ac:dyDescent="0.3">
      <c r="A1886" s="194"/>
      <c r="B1886" s="194"/>
      <c r="C1886" s="194"/>
      <c r="D1886" s="194"/>
      <c r="E1886" s="194"/>
      <c r="F1886" s="194"/>
      <c r="G1886" s="194"/>
      <c r="H1886" s="194"/>
      <c r="I1886" s="194"/>
      <c r="J1886" s="194"/>
      <c r="K1886" s="194"/>
      <c r="L1886" s="194"/>
    </row>
    <row r="1887" spans="1:12" x14ac:dyDescent="0.3">
      <c r="A1887" s="194"/>
      <c r="B1887" s="194"/>
      <c r="C1887" s="194"/>
      <c r="D1887" s="194"/>
      <c r="E1887" s="194"/>
      <c r="F1887" s="194"/>
      <c r="G1887" s="194"/>
      <c r="H1887" s="194"/>
      <c r="I1887" s="194"/>
      <c r="J1887" s="194"/>
      <c r="K1887" s="194"/>
      <c r="L1887" s="194"/>
    </row>
    <row r="1888" spans="1:12" x14ac:dyDescent="0.3">
      <c r="A1888" s="194"/>
      <c r="B1888" s="194"/>
      <c r="C1888" s="194"/>
      <c r="D1888" s="194"/>
      <c r="E1888" s="194"/>
      <c r="F1888" s="194"/>
      <c r="G1888" s="194"/>
      <c r="H1888" s="194"/>
      <c r="I1888" s="194"/>
      <c r="J1888" s="194"/>
      <c r="K1888" s="194"/>
      <c r="L1888" s="194"/>
    </row>
    <row r="1889" spans="1:12" x14ac:dyDescent="0.3">
      <c r="A1889" s="194"/>
      <c r="B1889" s="194"/>
      <c r="C1889" s="194"/>
      <c r="D1889" s="194"/>
      <c r="E1889" s="194"/>
      <c r="F1889" s="194"/>
      <c r="G1889" s="194"/>
      <c r="H1889" s="194"/>
      <c r="I1889" s="194"/>
      <c r="J1889" s="194"/>
      <c r="K1889" s="194"/>
      <c r="L1889" s="194"/>
    </row>
    <row r="1890" spans="1:12" x14ac:dyDescent="0.3">
      <c r="A1890" s="194"/>
      <c r="B1890" s="194"/>
      <c r="C1890" s="194"/>
      <c r="D1890" s="194"/>
      <c r="E1890" s="194"/>
      <c r="F1890" s="194"/>
      <c r="G1890" s="194"/>
      <c r="H1890" s="194"/>
      <c r="I1890" s="194"/>
      <c r="J1890" s="194"/>
      <c r="K1890" s="194"/>
      <c r="L1890" s="194"/>
    </row>
    <row r="1891" spans="1:12" x14ac:dyDescent="0.3">
      <c r="A1891" s="194"/>
      <c r="B1891" s="194"/>
      <c r="C1891" s="194"/>
      <c r="D1891" s="194"/>
      <c r="E1891" s="194"/>
      <c r="F1891" s="194"/>
      <c r="G1891" s="194"/>
      <c r="H1891" s="194"/>
      <c r="I1891" s="194"/>
      <c r="J1891" s="194"/>
      <c r="K1891" s="194"/>
      <c r="L1891" s="194"/>
    </row>
    <row r="1892" spans="1:12" x14ac:dyDescent="0.3">
      <c r="A1892" s="194"/>
      <c r="B1892" s="194"/>
      <c r="C1892" s="194"/>
      <c r="D1892" s="194"/>
      <c r="E1892" s="194"/>
      <c r="F1892" s="194"/>
      <c r="G1892" s="194"/>
      <c r="H1892" s="194"/>
      <c r="I1892" s="194"/>
      <c r="J1892" s="194"/>
      <c r="K1892" s="194"/>
      <c r="L1892" s="194"/>
    </row>
    <row r="1893" spans="1:12" x14ac:dyDescent="0.3">
      <c r="A1893" s="194"/>
      <c r="B1893" s="194"/>
      <c r="C1893" s="194"/>
      <c r="D1893" s="194"/>
      <c r="E1893" s="194"/>
      <c r="F1893" s="194"/>
      <c r="G1893" s="194"/>
      <c r="H1893" s="194"/>
      <c r="I1893" s="194"/>
      <c r="J1893" s="194"/>
      <c r="K1893" s="194"/>
      <c r="L1893" s="194"/>
    </row>
    <row r="1894" spans="1:12" x14ac:dyDescent="0.3">
      <c r="A1894" s="194"/>
      <c r="B1894" s="194"/>
      <c r="C1894" s="194"/>
      <c r="D1894" s="194"/>
      <c r="E1894" s="194"/>
      <c r="F1894" s="194"/>
      <c r="G1894" s="194"/>
      <c r="H1894" s="194"/>
      <c r="I1894" s="194"/>
      <c r="J1894" s="194"/>
      <c r="K1894" s="194"/>
      <c r="L1894" s="194"/>
    </row>
    <row r="1895" spans="1:12" x14ac:dyDescent="0.3">
      <c r="A1895" s="194"/>
      <c r="B1895" s="194"/>
      <c r="C1895" s="194"/>
      <c r="D1895" s="194"/>
      <c r="E1895" s="194"/>
      <c r="F1895" s="194"/>
      <c r="G1895" s="194"/>
      <c r="H1895" s="194"/>
      <c r="I1895" s="194"/>
      <c r="J1895" s="194"/>
      <c r="K1895" s="194"/>
      <c r="L1895" s="194"/>
    </row>
    <row r="1896" spans="1:12" x14ac:dyDescent="0.3">
      <c r="A1896" s="194"/>
      <c r="B1896" s="194"/>
      <c r="C1896" s="194"/>
      <c r="D1896" s="194"/>
      <c r="E1896" s="194"/>
      <c r="F1896" s="194"/>
      <c r="G1896" s="194"/>
      <c r="H1896" s="194"/>
      <c r="I1896" s="194"/>
      <c r="J1896" s="194"/>
      <c r="K1896" s="194"/>
      <c r="L1896" s="194"/>
    </row>
    <row r="1897" spans="1:12" x14ac:dyDescent="0.3">
      <c r="A1897" s="194"/>
      <c r="B1897" s="194"/>
      <c r="C1897" s="194"/>
      <c r="D1897" s="194"/>
      <c r="E1897" s="194"/>
      <c r="F1897" s="194"/>
      <c r="G1897" s="194"/>
      <c r="H1897" s="194"/>
      <c r="I1897" s="194"/>
      <c r="J1897" s="194"/>
      <c r="K1897" s="194"/>
      <c r="L1897" s="194"/>
    </row>
    <row r="1898" spans="1:12" x14ac:dyDescent="0.3">
      <c r="A1898" s="194"/>
      <c r="B1898" s="194"/>
      <c r="C1898" s="194"/>
      <c r="D1898" s="194"/>
      <c r="E1898" s="194"/>
      <c r="F1898" s="194"/>
      <c r="G1898" s="194"/>
      <c r="H1898" s="194"/>
      <c r="I1898" s="194"/>
      <c r="J1898" s="194"/>
      <c r="K1898" s="194"/>
      <c r="L1898" s="194"/>
    </row>
    <row r="1899" spans="1:12" x14ac:dyDescent="0.3">
      <c r="A1899" s="194"/>
      <c r="B1899" s="194"/>
      <c r="C1899" s="194"/>
      <c r="D1899" s="194"/>
      <c r="E1899" s="194"/>
      <c r="F1899" s="194"/>
      <c r="G1899" s="194"/>
      <c r="H1899" s="194"/>
      <c r="I1899" s="194"/>
      <c r="J1899" s="194"/>
      <c r="K1899" s="194"/>
      <c r="L1899" s="194"/>
    </row>
    <row r="1900" spans="1:12" x14ac:dyDescent="0.3">
      <c r="A1900" s="194"/>
      <c r="B1900" s="194"/>
      <c r="C1900" s="194"/>
      <c r="D1900" s="194"/>
      <c r="E1900" s="194"/>
      <c r="F1900" s="194"/>
      <c r="G1900" s="194"/>
      <c r="H1900" s="194"/>
      <c r="I1900" s="194"/>
      <c r="J1900" s="194"/>
      <c r="K1900" s="194"/>
      <c r="L1900" s="194"/>
    </row>
    <row r="1901" spans="1:12" x14ac:dyDescent="0.3">
      <c r="A1901" s="194"/>
      <c r="B1901" s="194"/>
      <c r="C1901" s="194"/>
      <c r="D1901" s="194"/>
      <c r="E1901" s="194"/>
      <c r="F1901" s="194"/>
      <c r="G1901" s="194"/>
      <c r="H1901" s="194"/>
      <c r="I1901" s="194"/>
      <c r="J1901" s="194"/>
      <c r="K1901" s="194"/>
      <c r="L1901" s="194"/>
    </row>
    <row r="1902" spans="1:12" x14ac:dyDescent="0.3">
      <c r="A1902" s="194"/>
      <c r="B1902" s="194"/>
      <c r="C1902" s="194"/>
      <c r="D1902" s="194"/>
      <c r="E1902" s="194"/>
      <c r="F1902" s="194"/>
      <c r="G1902" s="194"/>
      <c r="H1902" s="194"/>
      <c r="I1902" s="194"/>
      <c r="J1902" s="194"/>
      <c r="K1902" s="194"/>
      <c r="L1902" s="194"/>
    </row>
    <row r="1903" spans="1:12" x14ac:dyDescent="0.3">
      <c r="A1903" s="194"/>
      <c r="B1903" s="194"/>
      <c r="C1903" s="194"/>
      <c r="D1903" s="194"/>
      <c r="E1903" s="194"/>
      <c r="F1903" s="194"/>
      <c r="G1903" s="194"/>
      <c r="H1903" s="194"/>
      <c r="I1903" s="194"/>
      <c r="J1903" s="194"/>
      <c r="K1903" s="194"/>
      <c r="L1903" s="194"/>
    </row>
    <row r="1904" spans="1:12" x14ac:dyDescent="0.3">
      <c r="A1904" s="194"/>
      <c r="B1904" s="194"/>
      <c r="C1904" s="194"/>
      <c r="D1904" s="194"/>
      <c r="E1904" s="194"/>
      <c r="F1904" s="194"/>
      <c r="G1904" s="194"/>
      <c r="H1904" s="194"/>
      <c r="I1904" s="194"/>
      <c r="J1904" s="194"/>
      <c r="K1904" s="194"/>
      <c r="L1904" s="194"/>
    </row>
    <row r="1905" spans="1:12" x14ac:dyDescent="0.3">
      <c r="A1905" s="194"/>
      <c r="B1905" s="194"/>
      <c r="C1905" s="194"/>
      <c r="D1905" s="194"/>
      <c r="E1905" s="194"/>
      <c r="F1905" s="194"/>
      <c r="G1905" s="194"/>
      <c r="H1905" s="194"/>
      <c r="I1905" s="194"/>
      <c r="J1905" s="194"/>
      <c r="K1905" s="194"/>
      <c r="L1905" s="194"/>
    </row>
    <row r="1906" spans="1:12" x14ac:dyDescent="0.3">
      <c r="A1906" s="194"/>
      <c r="B1906" s="194"/>
      <c r="C1906" s="194"/>
      <c r="D1906" s="194"/>
      <c r="E1906" s="194"/>
      <c r="F1906" s="194"/>
      <c r="G1906" s="194"/>
      <c r="H1906" s="194"/>
      <c r="I1906" s="194"/>
      <c r="J1906" s="194"/>
      <c r="K1906" s="194"/>
      <c r="L1906" s="194"/>
    </row>
    <row r="1907" spans="1:12" x14ac:dyDescent="0.3">
      <c r="A1907" s="194"/>
      <c r="B1907" s="194"/>
      <c r="C1907" s="194"/>
      <c r="D1907" s="194"/>
      <c r="E1907" s="194"/>
      <c r="F1907" s="194"/>
      <c r="G1907" s="194"/>
      <c r="H1907" s="194"/>
      <c r="I1907" s="194"/>
      <c r="J1907" s="194"/>
      <c r="K1907" s="194"/>
      <c r="L1907" s="194"/>
    </row>
    <row r="1908" spans="1:12" x14ac:dyDescent="0.3">
      <c r="A1908" s="194"/>
      <c r="B1908" s="194"/>
      <c r="C1908" s="194"/>
      <c r="D1908" s="194"/>
      <c r="E1908" s="194"/>
      <c r="F1908" s="194"/>
      <c r="G1908" s="194"/>
      <c r="H1908" s="194"/>
      <c r="I1908" s="194"/>
      <c r="J1908" s="194"/>
      <c r="K1908" s="194"/>
      <c r="L1908" s="194"/>
    </row>
    <row r="1909" spans="1:12" x14ac:dyDescent="0.3">
      <c r="A1909" s="194"/>
      <c r="B1909" s="194"/>
      <c r="C1909" s="194"/>
      <c r="D1909" s="194"/>
      <c r="E1909" s="194"/>
      <c r="F1909" s="194"/>
      <c r="G1909" s="194"/>
      <c r="H1909" s="194"/>
      <c r="I1909" s="194"/>
      <c r="J1909" s="194"/>
      <c r="K1909" s="194"/>
      <c r="L1909" s="194"/>
    </row>
    <row r="1910" spans="1:12" x14ac:dyDescent="0.3">
      <c r="A1910" s="194"/>
      <c r="B1910" s="194"/>
      <c r="C1910" s="194"/>
      <c r="D1910" s="194"/>
      <c r="E1910" s="194"/>
      <c r="F1910" s="194"/>
      <c r="G1910" s="194"/>
      <c r="H1910" s="194"/>
      <c r="I1910" s="194"/>
      <c r="J1910" s="194"/>
      <c r="K1910" s="194"/>
      <c r="L1910" s="194"/>
    </row>
    <row r="1911" spans="1:12" x14ac:dyDescent="0.3">
      <c r="A1911" s="194"/>
      <c r="B1911" s="194"/>
      <c r="C1911" s="194"/>
      <c r="D1911" s="194"/>
      <c r="E1911" s="194"/>
      <c r="F1911" s="194"/>
      <c r="G1911" s="194"/>
      <c r="H1911" s="194"/>
      <c r="I1911" s="194"/>
      <c r="J1911" s="194"/>
      <c r="K1911" s="194"/>
      <c r="L1911" s="194"/>
    </row>
    <row r="1912" spans="1:12" x14ac:dyDescent="0.3">
      <c r="A1912" s="194"/>
      <c r="B1912" s="194"/>
      <c r="C1912" s="194"/>
      <c r="D1912" s="194"/>
      <c r="E1912" s="194"/>
      <c r="F1912" s="194"/>
      <c r="G1912" s="194"/>
      <c r="H1912" s="194"/>
      <c r="I1912" s="194"/>
      <c r="J1912" s="194"/>
      <c r="K1912" s="194"/>
      <c r="L1912" s="194"/>
    </row>
    <row r="1913" spans="1:12" x14ac:dyDescent="0.3">
      <c r="A1913" s="194"/>
      <c r="B1913" s="194"/>
      <c r="C1913" s="194"/>
      <c r="D1913" s="194"/>
      <c r="E1913" s="194"/>
      <c r="F1913" s="194"/>
      <c r="G1913" s="194"/>
      <c r="H1913" s="194"/>
      <c r="I1913" s="194"/>
      <c r="J1913" s="194"/>
      <c r="K1913" s="194"/>
      <c r="L1913" s="194"/>
    </row>
    <row r="1914" spans="1:12" x14ac:dyDescent="0.3">
      <c r="A1914" s="194"/>
      <c r="B1914" s="194"/>
      <c r="C1914" s="194"/>
      <c r="D1914" s="194"/>
      <c r="E1914" s="194"/>
      <c r="F1914" s="194"/>
      <c r="G1914" s="194"/>
      <c r="H1914" s="194"/>
      <c r="I1914" s="194"/>
      <c r="J1914" s="194"/>
      <c r="K1914" s="194"/>
      <c r="L1914" s="194"/>
    </row>
    <row r="1915" spans="1:12" x14ac:dyDescent="0.3">
      <c r="A1915" s="194"/>
      <c r="B1915" s="194"/>
      <c r="C1915" s="194"/>
      <c r="D1915" s="194"/>
      <c r="E1915" s="194"/>
      <c r="F1915" s="194"/>
      <c r="G1915" s="194"/>
      <c r="H1915" s="194"/>
      <c r="I1915" s="194"/>
      <c r="J1915" s="194"/>
      <c r="K1915" s="194"/>
      <c r="L1915" s="194"/>
    </row>
    <row r="1916" spans="1:12" x14ac:dyDescent="0.3">
      <c r="A1916" s="194"/>
      <c r="B1916" s="194"/>
      <c r="C1916" s="194"/>
      <c r="D1916" s="194"/>
      <c r="E1916" s="194"/>
      <c r="F1916" s="194"/>
      <c r="G1916" s="194"/>
      <c r="H1916" s="194"/>
      <c r="I1916" s="194"/>
      <c r="J1916" s="194"/>
      <c r="K1916" s="194"/>
      <c r="L1916" s="194"/>
    </row>
    <row r="1917" spans="1:12" x14ac:dyDescent="0.3">
      <c r="A1917" s="194"/>
      <c r="B1917" s="194"/>
      <c r="C1917" s="194"/>
      <c r="D1917" s="194"/>
      <c r="E1917" s="194"/>
      <c r="F1917" s="194"/>
      <c r="G1917" s="194"/>
      <c r="H1917" s="194"/>
      <c r="I1917" s="194"/>
      <c r="J1917" s="194"/>
      <c r="K1917" s="194"/>
      <c r="L1917" s="194"/>
    </row>
    <row r="1918" spans="1:12" x14ac:dyDescent="0.3">
      <c r="A1918" s="194"/>
      <c r="B1918" s="194"/>
      <c r="C1918" s="194"/>
      <c r="D1918" s="194"/>
      <c r="E1918" s="194"/>
      <c r="F1918" s="194"/>
      <c r="G1918" s="194"/>
      <c r="H1918" s="194"/>
      <c r="I1918" s="194"/>
      <c r="J1918" s="194"/>
      <c r="K1918" s="194"/>
      <c r="L1918" s="194"/>
    </row>
    <row r="1919" spans="1:12" x14ac:dyDescent="0.3">
      <c r="A1919" s="194"/>
      <c r="B1919" s="194"/>
      <c r="C1919" s="194"/>
      <c r="D1919" s="194"/>
      <c r="E1919" s="194"/>
      <c r="F1919" s="194"/>
      <c r="G1919" s="194"/>
      <c r="H1919" s="194"/>
      <c r="I1919" s="194"/>
      <c r="J1919" s="194"/>
      <c r="K1919" s="194"/>
      <c r="L1919" s="194"/>
    </row>
    <row r="1920" spans="1:12" x14ac:dyDescent="0.3">
      <c r="A1920" s="194"/>
      <c r="B1920" s="194"/>
      <c r="C1920" s="194"/>
      <c r="D1920" s="194"/>
      <c r="E1920" s="194"/>
      <c r="F1920" s="194"/>
      <c r="G1920" s="194"/>
      <c r="H1920" s="194"/>
      <c r="I1920" s="194"/>
      <c r="J1920" s="194"/>
      <c r="K1920" s="194"/>
      <c r="L1920" s="194"/>
    </row>
    <row r="1921" spans="1:12" x14ac:dyDescent="0.3">
      <c r="A1921" s="194"/>
      <c r="B1921" s="194"/>
      <c r="C1921" s="194"/>
      <c r="D1921" s="194"/>
      <c r="E1921" s="194"/>
      <c r="F1921" s="194"/>
      <c r="G1921" s="194"/>
      <c r="H1921" s="194"/>
      <c r="I1921" s="194"/>
      <c r="J1921" s="194"/>
      <c r="K1921" s="194"/>
      <c r="L1921" s="194"/>
    </row>
    <row r="1922" spans="1:12" x14ac:dyDescent="0.3">
      <c r="A1922" s="194"/>
      <c r="B1922" s="194"/>
      <c r="C1922" s="194"/>
      <c r="D1922" s="194"/>
      <c r="E1922" s="194"/>
      <c r="F1922" s="194"/>
      <c r="G1922" s="194"/>
      <c r="H1922" s="194"/>
      <c r="I1922" s="194"/>
      <c r="J1922" s="194"/>
      <c r="K1922" s="194"/>
      <c r="L1922" s="194"/>
    </row>
    <row r="1923" spans="1:12" x14ac:dyDescent="0.3">
      <c r="A1923" s="194"/>
      <c r="B1923" s="194"/>
      <c r="C1923" s="194"/>
      <c r="D1923" s="194"/>
      <c r="E1923" s="194"/>
      <c r="F1923" s="194"/>
      <c r="G1923" s="194"/>
      <c r="H1923" s="194"/>
      <c r="I1923" s="194"/>
      <c r="J1923" s="194"/>
      <c r="K1923" s="194"/>
      <c r="L1923" s="194"/>
    </row>
    <row r="1924" spans="1:12" x14ac:dyDescent="0.3">
      <c r="A1924" s="194"/>
      <c r="B1924" s="194"/>
      <c r="C1924" s="194"/>
      <c r="D1924" s="194"/>
      <c r="E1924" s="194"/>
      <c r="F1924" s="194"/>
      <c r="G1924" s="194"/>
      <c r="H1924" s="194"/>
      <c r="I1924" s="194"/>
      <c r="J1924" s="194"/>
      <c r="K1924" s="194"/>
      <c r="L1924" s="194"/>
    </row>
    <row r="1925" spans="1:12" x14ac:dyDescent="0.3">
      <c r="A1925" s="194"/>
      <c r="B1925" s="194"/>
      <c r="C1925" s="194"/>
      <c r="D1925" s="194"/>
      <c r="E1925" s="194"/>
      <c r="F1925" s="194"/>
      <c r="G1925" s="194"/>
      <c r="H1925" s="194"/>
      <c r="I1925" s="194"/>
      <c r="J1925" s="194"/>
      <c r="K1925" s="194"/>
      <c r="L1925" s="194"/>
    </row>
    <row r="1926" spans="1:12" x14ac:dyDescent="0.3">
      <c r="A1926" s="194"/>
      <c r="B1926" s="194"/>
      <c r="C1926" s="194"/>
      <c r="D1926" s="194"/>
      <c r="E1926" s="194"/>
      <c r="F1926" s="194"/>
      <c r="G1926" s="194"/>
      <c r="H1926" s="194"/>
      <c r="I1926" s="194"/>
      <c r="J1926" s="194"/>
      <c r="K1926" s="194"/>
      <c r="L1926" s="194"/>
    </row>
    <row r="1927" spans="1:12" x14ac:dyDescent="0.3">
      <c r="A1927" s="194"/>
      <c r="B1927" s="194"/>
      <c r="C1927" s="194"/>
      <c r="D1927" s="194"/>
      <c r="E1927" s="194"/>
      <c r="F1927" s="194"/>
      <c r="G1927" s="194"/>
      <c r="H1927" s="194"/>
      <c r="I1927" s="194"/>
      <c r="J1927" s="194"/>
      <c r="K1927" s="194"/>
      <c r="L1927" s="194"/>
    </row>
    <row r="1928" spans="1:12" x14ac:dyDescent="0.3">
      <c r="A1928" s="194"/>
      <c r="B1928" s="194"/>
      <c r="C1928" s="194"/>
      <c r="D1928" s="194"/>
      <c r="E1928" s="194"/>
      <c r="F1928" s="194"/>
      <c r="G1928" s="194"/>
      <c r="H1928" s="194"/>
      <c r="I1928" s="194"/>
      <c r="J1928" s="194"/>
      <c r="K1928" s="194"/>
      <c r="L1928" s="194"/>
    </row>
    <row r="1929" spans="1:12" x14ac:dyDescent="0.3">
      <c r="A1929" s="194"/>
      <c r="B1929" s="194"/>
      <c r="C1929" s="194"/>
      <c r="D1929" s="194"/>
      <c r="E1929" s="194"/>
      <c r="F1929" s="194"/>
      <c r="G1929" s="194"/>
      <c r="H1929" s="194"/>
      <c r="I1929" s="194"/>
      <c r="J1929" s="194"/>
      <c r="K1929" s="194"/>
      <c r="L1929" s="194"/>
    </row>
    <row r="1930" spans="1:12" x14ac:dyDescent="0.3">
      <c r="A1930" s="194"/>
      <c r="B1930" s="194"/>
      <c r="C1930" s="194"/>
      <c r="D1930" s="194"/>
      <c r="E1930" s="194"/>
      <c r="F1930" s="194"/>
      <c r="G1930" s="194"/>
      <c r="H1930" s="194"/>
      <c r="I1930" s="194"/>
      <c r="J1930" s="194"/>
      <c r="K1930" s="194"/>
      <c r="L1930" s="194"/>
    </row>
    <row r="1931" spans="1:12" x14ac:dyDescent="0.3">
      <c r="A1931" s="194"/>
      <c r="B1931" s="194"/>
      <c r="C1931" s="194"/>
      <c r="D1931" s="194"/>
      <c r="E1931" s="194"/>
      <c r="F1931" s="194"/>
      <c r="G1931" s="194"/>
      <c r="H1931" s="194"/>
      <c r="I1931" s="194"/>
      <c r="J1931" s="194"/>
      <c r="K1931" s="194"/>
      <c r="L1931" s="194"/>
    </row>
    <row r="1932" spans="1:12" x14ac:dyDescent="0.3">
      <c r="A1932" s="194"/>
      <c r="B1932" s="194"/>
      <c r="C1932" s="194"/>
      <c r="D1932" s="194"/>
      <c r="E1932" s="194"/>
      <c r="F1932" s="194"/>
      <c r="G1932" s="194"/>
      <c r="H1932" s="194"/>
      <c r="I1932" s="194"/>
      <c r="J1932" s="194"/>
      <c r="K1932" s="194"/>
      <c r="L1932" s="194"/>
    </row>
    <row r="1933" spans="1:12" x14ac:dyDescent="0.3">
      <c r="A1933" s="194"/>
      <c r="B1933" s="194"/>
      <c r="C1933" s="194"/>
      <c r="D1933" s="194"/>
      <c r="E1933" s="194"/>
      <c r="F1933" s="194"/>
      <c r="G1933" s="194"/>
      <c r="H1933" s="194"/>
      <c r="I1933" s="194"/>
      <c r="J1933" s="194"/>
      <c r="K1933" s="194"/>
      <c r="L1933" s="194"/>
    </row>
    <row r="1934" spans="1:12" x14ac:dyDescent="0.3">
      <c r="A1934" s="194"/>
      <c r="B1934" s="194"/>
      <c r="C1934" s="194"/>
      <c r="D1934" s="194"/>
      <c r="E1934" s="194"/>
      <c r="F1934" s="194"/>
      <c r="G1934" s="194"/>
      <c r="H1934" s="194"/>
      <c r="I1934" s="194"/>
      <c r="J1934" s="194"/>
      <c r="K1934" s="194"/>
      <c r="L1934" s="194"/>
    </row>
    <row r="1935" spans="1:12" x14ac:dyDescent="0.3">
      <c r="A1935" s="194"/>
      <c r="B1935" s="194"/>
      <c r="C1935" s="194"/>
      <c r="D1935" s="194"/>
      <c r="E1935" s="194"/>
      <c r="F1935" s="194"/>
      <c r="G1935" s="194"/>
      <c r="H1935" s="194"/>
      <c r="I1935" s="194"/>
      <c r="J1935" s="194"/>
      <c r="K1935" s="194"/>
      <c r="L1935" s="194"/>
    </row>
    <row r="1936" spans="1:12" x14ac:dyDescent="0.3">
      <c r="A1936" s="194"/>
      <c r="B1936" s="194"/>
      <c r="C1936" s="194"/>
      <c r="D1936" s="194"/>
      <c r="E1936" s="194"/>
      <c r="F1936" s="194"/>
      <c r="G1936" s="194"/>
      <c r="H1936" s="194"/>
      <c r="I1936" s="194"/>
      <c r="J1936" s="194"/>
      <c r="K1936" s="194"/>
      <c r="L1936" s="194"/>
    </row>
    <row r="1937" spans="1:12" x14ac:dyDescent="0.3">
      <c r="A1937" s="194"/>
      <c r="B1937" s="194"/>
      <c r="C1937" s="194"/>
      <c r="D1937" s="194"/>
      <c r="E1937" s="194"/>
      <c r="F1937" s="194"/>
      <c r="G1937" s="194"/>
      <c r="H1937" s="194"/>
      <c r="I1937" s="194"/>
      <c r="J1937" s="194"/>
      <c r="K1937" s="194"/>
      <c r="L1937" s="194"/>
    </row>
    <row r="1938" spans="1:12" x14ac:dyDescent="0.3">
      <c r="A1938" s="194"/>
      <c r="B1938" s="194"/>
      <c r="C1938" s="194"/>
      <c r="D1938" s="194"/>
      <c r="E1938" s="194"/>
      <c r="F1938" s="194"/>
      <c r="G1938" s="194"/>
      <c r="H1938" s="194"/>
      <c r="I1938" s="194"/>
      <c r="J1938" s="194"/>
      <c r="K1938" s="194"/>
      <c r="L1938" s="194"/>
    </row>
    <row r="1939" spans="1:12" x14ac:dyDescent="0.3">
      <c r="A1939" s="194"/>
      <c r="B1939" s="194"/>
      <c r="C1939" s="194"/>
      <c r="D1939" s="194"/>
      <c r="E1939" s="194"/>
      <c r="F1939" s="194"/>
      <c r="G1939" s="194"/>
      <c r="H1939" s="194"/>
      <c r="I1939" s="194"/>
      <c r="J1939" s="194"/>
      <c r="K1939" s="194"/>
      <c r="L1939" s="194"/>
    </row>
    <row r="1940" spans="1:12" x14ac:dyDescent="0.3">
      <c r="A1940" s="194"/>
      <c r="B1940" s="194"/>
      <c r="C1940" s="194"/>
      <c r="D1940" s="194"/>
      <c r="E1940" s="194"/>
      <c r="F1940" s="194"/>
      <c r="G1940" s="194"/>
      <c r="H1940" s="194"/>
      <c r="I1940" s="194"/>
      <c r="J1940" s="194"/>
      <c r="K1940" s="194"/>
      <c r="L1940" s="194"/>
    </row>
    <row r="1941" spans="1:12" x14ac:dyDescent="0.3">
      <c r="A1941" s="194"/>
      <c r="B1941" s="194"/>
      <c r="C1941" s="194"/>
      <c r="D1941" s="194"/>
      <c r="E1941" s="194"/>
      <c r="F1941" s="194"/>
      <c r="G1941" s="194"/>
      <c r="H1941" s="194"/>
      <c r="I1941" s="194"/>
      <c r="J1941" s="194"/>
      <c r="K1941" s="194"/>
      <c r="L1941" s="194"/>
    </row>
    <row r="1942" spans="1:12" x14ac:dyDescent="0.3">
      <c r="A1942" s="194"/>
      <c r="B1942" s="194"/>
      <c r="C1942" s="194"/>
      <c r="D1942" s="194"/>
      <c r="E1942" s="194"/>
      <c r="F1942" s="194"/>
      <c r="G1942" s="194"/>
      <c r="H1942" s="194"/>
      <c r="I1942" s="194"/>
      <c r="J1942" s="194"/>
      <c r="K1942" s="194"/>
      <c r="L1942" s="194"/>
    </row>
    <row r="1943" spans="1:12" x14ac:dyDescent="0.3">
      <c r="A1943" s="194"/>
      <c r="B1943" s="194"/>
      <c r="C1943" s="194"/>
      <c r="D1943" s="194"/>
      <c r="E1943" s="194"/>
      <c r="F1943" s="194"/>
      <c r="G1943" s="194"/>
      <c r="H1943" s="194"/>
      <c r="I1943" s="194"/>
      <c r="J1943" s="194"/>
      <c r="K1943" s="194"/>
      <c r="L1943" s="194"/>
    </row>
    <row r="1944" spans="1:12" x14ac:dyDescent="0.3">
      <c r="A1944" s="194"/>
      <c r="B1944" s="194"/>
      <c r="C1944" s="194"/>
      <c r="D1944" s="194"/>
      <c r="E1944" s="194"/>
      <c r="F1944" s="194"/>
      <c r="G1944" s="194"/>
      <c r="H1944" s="194"/>
      <c r="I1944" s="194"/>
      <c r="J1944" s="194"/>
      <c r="K1944" s="194"/>
      <c r="L1944" s="194"/>
    </row>
    <row r="1945" spans="1:12" x14ac:dyDescent="0.3">
      <c r="A1945" s="194"/>
      <c r="B1945" s="194"/>
      <c r="C1945" s="194"/>
      <c r="D1945" s="194"/>
      <c r="E1945" s="194"/>
      <c r="F1945" s="194"/>
      <c r="G1945" s="194"/>
      <c r="H1945" s="194"/>
      <c r="I1945" s="194"/>
      <c r="J1945" s="194"/>
      <c r="K1945" s="194"/>
      <c r="L1945" s="194"/>
    </row>
    <row r="1946" spans="1:12" x14ac:dyDescent="0.3">
      <c r="A1946" s="194"/>
      <c r="B1946" s="194"/>
      <c r="C1946" s="194"/>
      <c r="D1946" s="194"/>
      <c r="E1946" s="194"/>
      <c r="F1946" s="194"/>
      <c r="G1946" s="194"/>
      <c r="H1946" s="194"/>
      <c r="I1946" s="194"/>
      <c r="J1946" s="194"/>
      <c r="K1946" s="194"/>
      <c r="L1946" s="194"/>
    </row>
    <row r="1947" spans="1:12" x14ac:dyDescent="0.3">
      <c r="A1947" s="194"/>
      <c r="B1947" s="194"/>
      <c r="C1947" s="194"/>
      <c r="D1947" s="194"/>
      <c r="E1947" s="194"/>
      <c r="F1947" s="194"/>
      <c r="G1947" s="194"/>
      <c r="H1947" s="194"/>
      <c r="I1947" s="194"/>
      <c r="J1947" s="194"/>
      <c r="K1947" s="194"/>
      <c r="L1947" s="194"/>
    </row>
    <row r="1948" spans="1:12" x14ac:dyDescent="0.3">
      <c r="A1948" s="194"/>
      <c r="B1948" s="194"/>
      <c r="C1948" s="194"/>
      <c r="D1948" s="194"/>
      <c r="E1948" s="194"/>
      <c r="F1948" s="194"/>
      <c r="G1948" s="194"/>
      <c r="H1948" s="194"/>
      <c r="I1948" s="194"/>
      <c r="J1948" s="194"/>
      <c r="K1948" s="194"/>
      <c r="L1948" s="194"/>
    </row>
    <row r="1949" spans="1:12" x14ac:dyDescent="0.3">
      <c r="A1949" s="194"/>
      <c r="B1949" s="194"/>
      <c r="C1949" s="194"/>
      <c r="D1949" s="194"/>
      <c r="E1949" s="194"/>
      <c r="F1949" s="194"/>
      <c r="G1949" s="194"/>
      <c r="H1949" s="194"/>
      <c r="I1949" s="194"/>
      <c r="J1949" s="194"/>
      <c r="K1949" s="194"/>
      <c r="L1949" s="194"/>
    </row>
    <row r="1950" spans="1:12" x14ac:dyDescent="0.3">
      <c r="A1950" s="194"/>
      <c r="B1950" s="194"/>
      <c r="C1950" s="194"/>
      <c r="D1950" s="194"/>
      <c r="E1950" s="194"/>
      <c r="F1950" s="194"/>
      <c r="G1950" s="194"/>
      <c r="H1950" s="194"/>
      <c r="I1950" s="194"/>
      <c r="J1950" s="194"/>
      <c r="K1950" s="194"/>
      <c r="L1950" s="194"/>
    </row>
    <row r="1951" spans="1:12" x14ac:dyDescent="0.3">
      <c r="A1951" s="194"/>
      <c r="B1951" s="194"/>
      <c r="C1951" s="194"/>
      <c r="D1951" s="194"/>
      <c r="E1951" s="194"/>
      <c r="F1951" s="194"/>
      <c r="G1951" s="194"/>
      <c r="H1951" s="194"/>
      <c r="I1951" s="194"/>
      <c r="J1951" s="194"/>
      <c r="K1951" s="194"/>
      <c r="L1951" s="194"/>
    </row>
    <row r="1952" spans="1:12" x14ac:dyDescent="0.3">
      <c r="A1952" s="194"/>
      <c r="B1952" s="194"/>
      <c r="C1952" s="194"/>
      <c r="D1952" s="194"/>
      <c r="E1952" s="194"/>
      <c r="F1952" s="194"/>
      <c r="G1952" s="194"/>
      <c r="H1952" s="194"/>
      <c r="I1952" s="194"/>
      <c r="J1952" s="194"/>
      <c r="K1952" s="194"/>
      <c r="L1952" s="194"/>
    </row>
    <row r="1953" spans="1:12" x14ac:dyDescent="0.3">
      <c r="A1953" s="194"/>
      <c r="B1953" s="194"/>
      <c r="C1953" s="194"/>
      <c r="D1953" s="194"/>
      <c r="E1953" s="194"/>
      <c r="F1953" s="194"/>
      <c r="G1953" s="194"/>
      <c r="H1953" s="194"/>
      <c r="I1953" s="194"/>
      <c r="J1953" s="194"/>
      <c r="K1953" s="194"/>
      <c r="L1953" s="194"/>
    </row>
    <row r="1954" spans="1:12" x14ac:dyDescent="0.3">
      <c r="A1954" s="194"/>
      <c r="B1954" s="194"/>
      <c r="C1954" s="194"/>
      <c r="D1954" s="194"/>
      <c r="E1954" s="194"/>
      <c r="F1954" s="194"/>
      <c r="G1954" s="194"/>
      <c r="H1954" s="194"/>
      <c r="I1954" s="194"/>
      <c r="J1954" s="194"/>
      <c r="K1954" s="194"/>
      <c r="L1954" s="194"/>
    </row>
    <row r="1955" spans="1:12" x14ac:dyDescent="0.3">
      <c r="A1955" s="194"/>
      <c r="B1955" s="194"/>
      <c r="C1955" s="194"/>
      <c r="D1955" s="194"/>
      <c r="E1955" s="194"/>
      <c r="F1955" s="194"/>
      <c r="G1955" s="194"/>
      <c r="H1955" s="194"/>
      <c r="I1955" s="194"/>
      <c r="J1955" s="194"/>
      <c r="K1955" s="194"/>
      <c r="L1955" s="194"/>
    </row>
    <row r="1956" spans="1:12" x14ac:dyDescent="0.3">
      <c r="A1956" s="194"/>
      <c r="B1956" s="194"/>
      <c r="C1956" s="194"/>
      <c r="D1956" s="194"/>
      <c r="E1956" s="194"/>
      <c r="F1956" s="194"/>
      <c r="G1956" s="194"/>
      <c r="H1956" s="194"/>
      <c r="I1956" s="194"/>
      <c r="J1956" s="194"/>
      <c r="K1956" s="194"/>
      <c r="L1956" s="194"/>
    </row>
    <row r="1957" spans="1:12" x14ac:dyDescent="0.3">
      <c r="A1957" s="194"/>
      <c r="B1957" s="194"/>
      <c r="C1957" s="194"/>
      <c r="D1957" s="194"/>
      <c r="E1957" s="194"/>
      <c r="F1957" s="194"/>
      <c r="G1957" s="194"/>
      <c r="H1957" s="194"/>
      <c r="I1957" s="194"/>
      <c r="J1957" s="194"/>
      <c r="K1957" s="194"/>
      <c r="L1957" s="194"/>
    </row>
    <row r="1958" spans="1:12" x14ac:dyDescent="0.3">
      <c r="A1958" s="194"/>
      <c r="B1958" s="194"/>
      <c r="C1958" s="194"/>
      <c r="D1958" s="194"/>
      <c r="E1958" s="194"/>
      <c r="F1958" s="194"/>
      <c r="G1958" s="194"/>
      <c r="H1958" s="194"/>
      <c r="I1958" s="194"/>
      <c r="J1958" s="194"/>
      <c r="K1958" s="194"/>
      <c r="L1958" s="194"/>
    </row>
    <row r="1959" spans="1:12" x14ac:dyDescent="0.3">
      <c r="A1959" s="194"/>
      <c r="B1959" s="194"/>
      <c r="C1959" s="194"/>
      <c r="D1959" s="194"/>
      <c r="E1959" s="194"/>
      <c r="F1959" s="194"/>
      <c r="G1959" s="194"/>
      <c r="H1959" s="194"/>
      <c r="I1959" s="194"/>
      <c r="J1959" s="194"/>
      <c r="K1959" s="194"/>
      <c r="L1959" s="194"/>
    </row>
    <row r="1960" spans="1:12" x14ac:dyDescent="0.3">
      <c r="A1960" s="194"/>
      <c r="B1960" s="194"/>
      <c r="C1960" s="194"/>
      <c r="D1960" s="194"/>
      <c r="E1960" s="194"/>
      <c r="F1960" s="194"/>
      <c r="G1960" s="194"/>
      <c r="H1960" s="194"/>
      <c r="I1960" s="194"/>
      <c r="J1960" s="194"/>
      <c r="K1960" s="194"/>
      <c r="L1960" s="194"/>
    </row>
    <row r="1961" spans="1:12" x14ac:dyDescent="0.3">
      <c r="A1961" s="194"/>
      <c r="B1961" s="194"/>
      <c r="C1961" s="194"/>
      <c r="D1961" s="194"/>
      <c r="E1961" s="194"/>
      <c r="F1961" s="194"/>
      <c r="G1961" s="194"/>
      <c r="H1961" s="194"/>
      <c r="I1961" s="194"/>
      <c r="J1961" s="194"/>
      <c r="K1961" s="194"/>
      <c r="L1961" s="194"/>
    </row>
    <row r="1962" spans="1:12" x14ac:dyDescent="0.3">
      <c r="A1962" s="194"/>
      <c r="B1962" s="194"/>
      <c r="C1962" s="194"/>
      <c r="D1962" s="194"/>
      <c r="E1962" s="194"/>
      <c r="F1962" s="194"/>
      <c r="G1962" s="194"/>
      <c r="H1962" s="194"/>
      <c r="I1962" s="194"/>
      <c r="J1962" s="194"/>
      <c r="K1962" s="194"/>
      <c r="L1962" s="194"/>
    </row>
    <row r="1963" spans="1:12" x14ac:dyDescent="0.3">
      <c r="A1963" s="194"/>
      <c r="B1963" s="194"/>
      <c r="C1963" s="194"/>
      <c r="D1963" s="194"/>
      <c r="E1963" s="194"/>
      <c r="F1963" s="194"/>
      <c r="G1963" s="194"/>
      <c r="H1963" s="194"/>
      <c r="I1963" s="194"/>
      <c r="J1963" s="194"/>
      <c r="K1963" s="194"/>
      <c r="L1963" s="194"/>
    </row>
    <row r="1964" spans="1:12" x14ac:dyDescent="0.3">
      <c r="A1964" s="194"/>
      <c r="B1964" s="194"/>
      <c r="C1964" s="194"/>
      <c r="D1964" s="194"/>
      <c r="E1964" s="194"/>
      <c r="F1964" s="194"/>
      <c r="G1964" s="194"/>
      <c r="H1964" s="194"/>
      <c r="I1964" s="194"/>
      <c r="J1964" s="194"/>
      <c r="K1964" s="194"/>
      <c r="L1964" s="194"/>
    </row>
    <row r="1965" spans="1:12" x14ac:dyDescent="0.3">
      <c r="A1965" s="194"/>
      <c r="B1965" s="194"/>
      <c r="C1965" s="194"/>
      <c r="D1965" s="194"/>
      <c r="E1965" s="194"/>
      <c r="F1965" s="194"/>
      <c r="G1965" s="194"/>
      <c r="H1965" s="194"/>
      <c r="I1965" s="194"/>
      <c r="J1965" s="194"/>
      <c r="K1965" s="194"/>
      <c r="L1965" s="194"/>
    </row>
    <row r="1966" spans="1:12" x14ac:dyDescent="0.3">
      <c r="A1966" s="194"/>
      <c r="B1966" s="194"/>
      <c r="C1966" s="194"/>
      <c r="D1966" s="194"/>
      <c r="E1966" s="194"/>
      <c r="F1966" s="194"/>
      <c r="G1966" s="194"/>
      <c r="H1966" s="194"/>
      <c r="I1966" s="194"/>
      <c r="J1966" s="194"/>
      <c r="K1966" s="194"/>
      <c r="L1966" s="194"/>
    </row>
    <row r="1967" spans="1:12" x14ac:dyDescent="0.3">
      <c r="A1967" s="194"/>
      <c r="B1967" s="194"/>
      <c r="C1967" s="194"/>
      <c r="D1967" s="194"/>
      <c r="E1967" s="194"/>
      <c r="F1967" s="194"/>
      <c r="G1967" s="194"/>
      <c r="H1967" s="194"/>
      <c r="I1967" s="194"/>
      <c r="J1967" s="194"/>
      <c r="K1967" s="194"/>
      <c r="L1967" s="194"/>
    </row>
    <row r="1968" spans="1:12" x14ac:dyDescent="0.3">
      <c r="A1968" s="194"/>
      <c r="B1968" s="194"/>
      <c r="C1968" s="194"/>
      <c r="D1968" s="194"/>
      <c r="E1968" s="194"/>
      <c r="F1968" s="194"/>
      <c r="G1968" s="194"/>
      <c r="H1968" s="194"/>
      <c r="I1968" s="194"/>
      <c r="J1968" s="194"/>
      <c r="K1968" s="194"/>
      <c r="L1968" s="194"/>
    </row>
    <row r="1969" spans="1:12" x14ac:dyDescent="0.3">
      <c r="A1969" s="194"/>
      <c r="B1969" s="194"/>
      <c r="C1969" s="194"/>
      <c r="D1969" s="194"/>
      <c r="E1969" s="194"/>
      <c r="F1969" s="194"/>
      <c r="G1969" s="194"/>
      <c r="H1969" s="194"/>
      <c r="I1969" s="194"/>
      <c r="J1969" s="194"/>
      <c r="K1969" s="194"/>
      <c r="L1969" s="194"/>
    </row>
    <row r="1970" spans="1:12" x14ac:dyDescent="0.3">
      <c r="A1970" s="194"/>
      <c r="B1970" s="194"/>
      <c r="C1970" s="194"/>
      <c r="D1970" s="194"/>
      <c r="E1970" s="194"/>
      <c r="F1970" s="194"/>
      <c r="G1970" s="194"/>
      <c r="H1970" s="194"/>
      <c r="I1970" s="194"/>
      <c r="J1970" s="194"/>
      <c r="K1970" s="194"/>
      <c r="L1970" s="194"/>
    </row>
    <row r="1971" spans="1:12" x14ac:dyDescent="0.3">
      <c r="A1971" s="194"/>
      <c r="B1971" s="194"/>
      <c r="C1971" s="194"/>
      <c r="D1971" s="194"/>
      <c r="E1971" s="194"/>
      <c r="F1971" s="194"/>
      <c r="G1971" s="194"/>
      <c r="H1971" s="194"/>
      <c r="I1971" s="194"/>
      <c r="J1971" s="194"/>
      <c r="K1971" s="194"/>
      <c r="L1971" s="194"/>
    </row>
    <row r="1972" spans="1:12" x14ac:dyDescent="0.3">
      <c r="A1972" s="194"/>
      <c r="B1972" s="194"/>
      <c r="C1972" s="194"/>
      <c r="D1972" s="194"/>
      <c r="E1972" s="194"/>
      <c r="F1972" s="194"/>
      <c r="G1972" s="194"/>
      <c r="H1972" s="194"/>
      <c r="I1972" s="194"/>
      <c r="J1972" s="194"/>
      <c r="K1972" s="194"/>
      <c r="L1972" s="194"/>
    </row>
    <row r="1973" spans="1:12" x14ac:dyDescent="0.3">
      <c r="A1973" s="194"/>
      <c r="B1973" s="194"/>
      <c r="C1973" s="194"/>
      <c r="D1973" s="194"/>
      <c r="E1973" s="194"/>
      <c r="F1973" s="194"/>
      <c r="G1973" s="194"/>
      <c r="H1973" s="194"/>
      <c r="I1973" s="194"/>
      <c r="J1973" s="194"/>
      <c r="K1973" s="194"/>
      <c r="L1973" s="194"/>
    </row>
    <row r="1974" spans="1:12" x14ac:dyDescent="0.3">
      <c r="A1974" s="194"/>
      <c r="B1974" s="194"/>
      <c r="C1974" s="194"/>
      <c r="D1974" s="194"/>
      <c r="E1974" s="194"/>
      <c r="F1974" s="194"/>
      <c r="G1974" s="194"/>
      <c r="H1974" s="194"/>
      <c r="I1974" s="194"/>
      <c r="J1974" s="194"/>
      <c r="K1974" s="194"/>
      <c r="L1974" s="194"/>
    </row>
    <row r="1975" spans="1:12" x14ac:dyDescent="0.3">
      <c r="A1975" s="194"/>
      <c r="B1975" s="194"/>
      <c r="C1975" s="194"/>
      <c r="D1975" s="194"/>
      <c r="E1975" s="194"/>
      <c r="F1975" s="194"/>
      <c r="G1975" s="194"/>
      <c r="H1975" s="194"/>
      <c r="I1975" s="194"/>
      <c r="J1975" s="194"/>
      <c r="K1975" s="194"/>
      <c r="L1975" s="194"/>
    </row>
    <row r="1976" spans="1:12" x14ac:dyDescent="0.3">
      <c r="A1976" s="194"/>
      <c r="B1976" s="194"/>
      <c r="C1976" s="194"/>
      <c r="D1976" s="194"/>
      <c r="E1976" s="194"/>
      <c r="F1976" s="194"/>
      <c r="G1976" s="194"/>
      <c r="H1976" s="194"/>
      <c r="I1976" s="194"/>
      <c r="J1976" s="194"/>
      <c r="K1976" s="194"/>
      <c r="L1976" s="194"/>
    </row>
    <row r="1977" spans="1:12" x14ac:dyDescent="0.3">
      <c r="A1977" s="194"/>
      <c r="B1977" s="194"/>
      <c r="C1977" s="194"/>
      <c r="D1977" s="194"/>
      <c r="E1977" s="194"/>
      <c r="F1977" s="194"/>
      <c r="G1977" s="194"/>
      <c r="H1977" s="194"/>
      <c r="I1977" s="194"/>
      <c r="J1977" s="194"/>
      <c r="K1977" s="194"/>
      <c r="L1977" s="194"/>
    </row>
    <row r="1978" spans="1:12" x14ac:dyDescent="0.3">
      <c r="A1978" s="194"/>
      <c r="B1978" s="194"/>
      <c r="C1978" s="194"/>
      <c r="D1978" s="194"/>
      <c r="E1978" s="194"/>
      <c r="F1978" s="194"/>
      <c r="G1978" s="194"/>
      <c r="H1978" s="194"/>
      <c r="I1978" s="194"/>
      <c r="J1978" s="194"/>
      <c r="K1978" s="194"/>
      <c r="L1978" s="194"/>
    </row>
    <row r="1979" spans="1:12" x14ac:dyDescent="0.3">
      <c r="A1979" s="194"/>
      <c r="B1979" s="194"/>
      <c r="C1979" s="194"/>
      <c r="D1979" s="194"/>
      <c r="E1979" s="194"/>
      <c r="F1979" s="194"/>
      <c r="G1979" s="194"/>
      <c r="H1979" s="194"/>
      <c r="I1979" s="194"/>
      <c r="J1979" s="194"/>
      <c r="K1979" s="194"/>
      <c r="L1979" s="194"/>
    </row>
    <row r="1980" spans="1:12" x14ac:dyDescent="0.3">
      <c r="A1980" s="194"/>
      <c r="B1980" s="194"/>
      <c r="C1980" s="194"/>
      <c r="D1980" s="194"/>
      <c r="E1980" s="194"/>
      <c r="F1980" s="194"/>
      <c r="G1980" s="194"/>
      <c r="H1980" s="194"/>
      <c r="I1980" s="194"/>
      <c r="J1980" s="194"/>
      <c r="K1980" s="194"/>
      <c r="L1980" s="194"/>
    </row>
    <row r="1981" spans="1:12" x14ac:dyDescent="0.3">
      <c r="A1981" s="194"/>
      <c r="B1981" s="194"/>
      <c r="C1981" s="194"/>
      <c r="D1981" s="194"/>
      <c r="E1981" s="194"/>
      <c r="F1981" s="194"/>
      <c r="G1981" s="194"/>
      <c r="H1981" s="194"/>
      <c r="I1981" s="194"/>
      <c r="J1981" s="194"/>
      <c r="K1981" s="194"/>
      <c r="L1981" s="194"/>
    </row>
    <row r="1982" spans="1:12" x14ac:dyDescent="0.3">
      <c r="A1982" s="194"/>
      <c r="B1982" s="194"/>
      <c r="C1982" s="194"/>
      <c r="D1982" s="194"/>
      <c r="E1982" s="194"/>
      <c r="F1982" s="194"/>
      <c r="G1982" s="194"/>
      <c r="H1982" s="194"/>
      <c r="I1982" s="194"/>
      <c r="J1982" s="194"/>
      <c r="K1982" s="194"/>
      <c r="L1982" s="194"/>
    </row>
    <row r="1983" spans="1:12" x14ac:dyDescent="0.3">
      <c r="A1983" s="194"/>
      <c r="B1983" s="194"/>
      <c r="C1983" s="194"/>
      <c r="D1983" s="194"/>
      <c r="E1983" s="194"/>
      <c r="F1983" s="194"/>
      <c r="G1983" s="194"/>
      <c r="H1983" s="194"/>
      <c r="I1983" s="194"/>
      <c r="J1983" s="194"/>
      <c r="K1983" s="194"/>
      <c r="L1983" s="194"/>
    </row>
    <row r="1984" spans="1:12" x14ac:dyDescent="0.3">
      <c r="A1984" s="194"/>
      <c r="B1984" s="194"/>
      <c r="C1984" s="194"/>
      <c r="D1984" s="194"/>
      <c r="E1984" s="194"/>
      <c r="F1984" s="194"/>
      <c r="G1984" s="194"/>
      <c r="H1984" s="194"/>
      <c r="I1984" s="194"/>
      <c r="J1984" s="194"/>
      <c r="K1984" s="194"/>
      <c r="L1984" s="194"/>
    </row>
    <row r="1985" spans="1:12" x14ac:dyDescent="0.3">
      <c r="A1985" s="194"/>
      <c r="B1985" s="194"/>
      <c r="C1985" s="194"/>
      <c r="D1985" s="194"/>
      <c r="E1985" s="194"/>
      <c r="F1985" s="194"/>
      <c r="G1985" s="194"/>
      <c r="H1985" s="194"/>
      <c r="I1985" s="194"/>
      <c r="J1985" s="194"/>
      <c r="K1985" s="194"/>
      <c r="L1985" s="194"/>
    </row>
    <row r="1986" spans="1:12" x14ac:dyDescent="0.3">
      <c r="A1986" s="194"/>
      <c r="B1986" s="194"/>
      <c r="C1986" s="194"/>
      <c r="D1986" s="194"/>
      <c r="E1986" s="194"/>
      <c r="F1986" s="194"/>
      <c r="G1986" s="194"/>
      <c r="H1986" s="194"/>
      <c r="I1986" s="194"/>
      <c r="J1986" s="194"/>
      <c r="K1986" s="194"/>
      <c r="L1986" s="194"/>
    </row>
    <row r="1987" spans="1:12" x14ac:dyDescent="0.3">
      <c r="A1987" s="194"/>
      <c r="B1987" s="194"/>
      <c r="C1987" s="194"/>
      <c r="D1987" s="194"/>
      <c r="E1987" s="194"/>
      <c r="F1987" s="194"/>
      <c r="G1987" s="194"/>
      <c r="H1987" s="194"/>
      <c r="I1987" s="194"/>
      <c r="J1987" s="194"/>
      <c r="K1987" s="194"/>
      <c r="L1987" s="194"/>
    </row>
    <row r="1988" spans="1:12" x14ac:dyDescent="0.3">
      <c r="A1988" s="194"/>
      <c r="B1988" s="194"/>
      <c r="C1988" s="194"/>
      <c r="D1988" s="194"/>
      <c r="E1988" s="194"/>
      <c r="F1988" s="194"/>
      <c r="G1988" s="194"/>
      <c r="H1988" s="194"/>
      <c r="I1988" s="194"/>
      <c r="J1988" s="194"/>
      <c r="K1988" s="194"/>
      <c r="L1988" s="194"/>
    </row>
    <row r="1989" spans="1:12" x14ac:dyDescent="0.3">
      <c r="A1989" s="194"/>
      <c r="B1989" s="194"/>
      <c r="C1989" s="194"/>
      <c r="D1989" s="194"/>
      <c r="E1989" s="194"/>
      <c r="F1989" s="194"/>
      <c r="G1989" s="194"/>
      <c r="H1989" s="194"/>
      <c r="I1989" s="194"/>
      <c r="J1989" s="194"/>
      <c r="K1989" s="194"/>
      <c r="L1989" s="194"/>
    </row>
    <row r="1990" spans="1:12" x14ac:dyDescent="0.3">
      <c r="A1990" s="194"/>
      <c r="B1990" s="194"/>
      <c r="C1990" s="194"/>
      <c r="D1990" s="194"/>
      <c r="E1990" s="194"/>
      <c r="F1990" s="194"/>
      <c r="G1990" s="194"/>
      <c r="H1990" s="194"/>
      <c r="I1990" s="194"/>
      <c r="J1990" s="194"/>
      <c r="K1990" s="194"/>
      <c r="L1990" s="194"/>
    </row>
    <row r="1991" spans="1:12" x14ac:dyDescent="0.3">
      <c r="A1991" s="194"/>
      <c r="B1991" s="194"/>
      <c r="C1991" s="194"/>
      <c r="D1991" s="194"/>
      <c r="E1991" s="194"/>
      <c r="F1991" s="194"/>
      <c r="G1991" s="194"/>
      <c r="H1991" s="194"/>
      <c r="I1991" s="194"/>
      <c r="J1991" s="194"/>
      <c r="K1991" s="194"/>
      <c r="L1991" s="194"/>
    </row>
    <row r="1992" spans="1:12" x14ac:dyDescent="0.3">
      <c r="A1992" s="194"/>
      <c r="B1992" s="194"/>
      <c r="C1992" s="194"/>
      <c r="D1992" s="194"/>
      <c r="E1992" s="194"/>
      <c r="F1992" s="194"/>
      <c r="G1992" s="194"/>
      <c r="H1992" s="194"/>
      <c r="I1992" s="194"/>
      <c r="J1992" s="194"/>
      <c r="K1992" s="194"/>
      <c r="L1992" s="194"/>
    </row>
    <row r="1993" spans="1:12" x14ac:dyDescent="0.3">
      <c r="A1993" s="194"/>
      <c r="B1993" s="194"/>
      <c r="C1993" s="194"/>
      <c r="D1993" s="194"/>
      <c r="E1993" s="194"/>
      <c r="F1993" s="194"/>
      <c r="G1993" s="194"/>
      <c r="H1993" s="194"/>
      <c r="I1993" s="194"/>
      <c r="J1993" s="194"/>
      <c r="K1993" s="194"/>
      <c r="L1993" s="194"/>
    </row>
    <row r="1994" spans="1:12" x14ac:dyDescent="0.3">
      <c r="A1994" s="194"/>
      <c r="B1994" s="194"/>
      <c r="C1994" s="194"/>
      <c r="D1994" s="194"/>
      <c r="E1994" s="194"/>
      <c r="F1994" s="194"/>
      <c r="G1994" s="194"/>
      <c r="H1994" s="194"/>
      <c r="I1994" s="194"/>
      <c r="J1994" s="194"/>
      <c r="K1994" s="194"/>
      <c r="L1994" s="194"/>
    </row>
    <row r="1995" spans="1:12" x14ac:dyDescent="0.3">
      <c r="A1995" s="194"/>
      <c r="B1995" s="194"/>
      <c r="C1995" s="194"/>
      <c r="D1995" s="194"/>
      <c r="E1995" s="194"/>
      <c r="F1995" s="194"/>
      <c r="G1995" s="194"/>
      <c r="H1995" s="194"/>
      <c r="I1995" s="194"/>
      <c r="J1995" s="194"/>
      <c r="K1995" s="194"/>
      <c r="L1995" s="194"/>
    </row>
    <row r="1996" spans="1:12" x14ac:dyDescent="0.3">
      <c r="A1996" s="194"/>
      <c r="B1996" s="194"/>
      <c r="C1996" s="194"/>
      <c r="D1996" s="194"/>
      <c r="E1996" s="194"/>
      <c r="F1996" s="194"/>
      <c r="G1996" s="194"/>
      <c r="H1996" s="194"/>
      <c r="I1996" s="194"/>
      <c r="J1996" s="194"/>
      <c r="K1996" s="194"/>
      <c r="L1996" s="194"/>
    </row>
    <row r="1997" spans="1:12" x14ac:dyDescent="0.3">
      <c r="A1997" s="194"/>
      <c r="B1997" s="194"/>
      <c r="C1997" s="194"/>
      <c r="D1997" s="194"/>
      <c r="E1997" s="194"/>
      <c r="F1997" s="194"/>
      <c r="G1997" s="194"/>
      <c r="H1997" s="194"/>
      <c r="I1997" s="194"/>
      <c r="J1997" s="194"/>
      <c r="K1997" s="194"/>
      <c r="L1997" s="194"/>
    </row>
    <row r="1998" spans="1:12" x14ac:dyDescent="0.3">
      <c r="A1998" s="194"/>
      <c r="B1998" s="194"/>
      <c r="C1998" s="194"/>
      <c r="D1998" s="194"/>
      <c r="E1998" s="194"/>
      <c r="F1998" s="194"/>
      <c r="G1998" s="194"/>
      <c r="H1998" s="194"/>
      <c r="I1998" s="194"/>
      <c r="J1998" s="194"/>
      <c r="K1998" s="194"/>
      <c r="L1998" s="194"/>
    </row>
    <row r="1999" spans="1:12" x14ac:dyDescent="0.3">
      <c r="A1999" s="194"/>
      <c r="B1999" s="194"/>
      <c r="C1999" s="194"/>
      <c r="D1999" s="194"/>
      <c r="E1999" s="194"/>
      <c r="F1999" s="194"/>
      <c r="G1999" s="194"/>
      <c r="H1999" s="194"/>
      <c r="I1999" s="194"/>
      <c r="J1999" s="194"/>
      <c r="K1999" s="194"/>
      <c r="L1999" s="194"/>
    </row>
    <row r="2000" spans="1:12" x14ac:dyDescent="0.3">
      <c r="A2000" s="194"/>
      <c r="B2000" s="194"/>
      <c r="C2000" s="194"/>
      <c r="D2000" s="194"/>
      <c r="E2000" s="194"/>
      <c r="F2000" s="194"/>
      <c r="G2000" s="194"/>
      <c r="H2000" s="194"/>
      <c r="I2000" s="194"/>
      <c r="J2000" s="194"/>
      <c r="K2000" s="194"/>
      <c r="L2000" s="194"/>
    </row>
    <row r="2001" spans="1:12" x14ac:dyDescent="0.3">
      <c r="A2001" s="194"/>
      <c r="B2001" s="194"/>
      <c r="C2001" s="194"/>
      <c r="D2001" s="194"/>
      <c r="E2001" s="194"/>
      <c r="F2001" s="194"/>
      <c r="G2001" s="194"/>
      <c r="H2001" s="194"/>
      <c r="I2001" s="194"/>
      <c r="J2001" s="194"/>
      <c r="K2001" s="194"/>
      <c r="L2001" s="194"/>
    </row>
    <row r="2002" spans="1:12" x14ac:dyDescent="0.3">
      <c r="A2002" s="194"/>
      <c r="B2002" s="194"/>
      <c r="C2002" s="194"/>
      <c r="D2002" s="194"/>
      <c r="E2002" s="194"/>
      <c r="F2002" s="194"/>
      <c r="G2002" s="194"/>
      <c r="H2002" s="194"/>
      <c r="I2002" s="194"/>
      <c r="J2002" s="194"/>
      <c r="K2002" s="194"/>
      <c r="L2002" s="194"/>
    </row>
    <row r="2003" spans="1:12" x14ac:dyDescent="0.3">
      <c r="A2003" s="194"/>
      <c r="B2003" s="194"/>
      <c r="C2003" s="194"/>
      <c r="D2003" s="194"/>
      <c r="E2003" s="194"/>
      <c r="F2003" s="194"/>
      <c r="G2003" s="194"/>
      <c r="H2003" s="194"/>
      <c r="I2003" s="194"/>
      <c r="J2003" s="194"/>
      <c r="K2003" s="194"/>
      <c r="L2003" s="194"/>
    </row>
    <row r="2004" spans="1:12" x14ac:dyDescent="0.3">
      <c r="A2004" s="194"/>
      <c r="B2004" s="194"/>
      <c r="C2004" s="194"/>
      <c r="D2004" s="194"/>
      <c r="E2004" s="194"/>
      <c r="F2004" s="194"/>
      <c r="G2004" s="194"/>
      <c r="H2004" s="194"/>
      <c r="I2004" s="194"/>
      <c r="J2004" s="194"/>
      <c r="K2004" s="194"/>
      <c r="L2004" s="194"/>
    </row>
    <row r="2005" spans="1:12" x14ac:dyDescent="0.3">
      <c r="A2005" s="194"/>
      <c r="B2005" s="194"/>
      <c r="C2005" s="194"/>
      <c r="D2005" s="194"/>
      <c r="E2005" s="194"/>
      <c r="F2005" s="194"/>
      <c r="G2005" s="194"/>
      <c r="H2005" s="194"/>
      <c r="I2005" s="194"/>
      <c r="J2005" s="194"/>
      <c r="K2005" s="194"/>
      <c r="L2005" s="194"/>
    </row>
    <row r="2006" spans="1:12" x14ac:dyDescent="0.3">
      <c r="A2006" s="194"/>
      <c r="B2006" s="194"/>
      <c r="C2006" s="194"/>
      <c r="D2006" s="194"/>
      <c r="E2006" s="194"/>
      <c r="F2006" s="194"/>
      <c r="G2006" s="194"/>
      <c r="H2006" s="194"/>
      <c r="I2006" s="194"/>
      <c r="J2006" s="194"/>
      <c r="K2006" s="194"/>
      <c r="L2006" s="194"/>
    </row>
    <row r="2007" spans="1:12" x14ac:dyDescent="0.3">
      <c r="A2007" s="194"/>
      <c r="B2007" s="194"/>
      <c r="C2007" s="194"/>
      <c r="D2007" s="194"/>
      <c r="E2007" s="194"/>
      <c r="F2007" s="194"/>
      <c r="G2007" s="194"/>
      <c r="H2007" s="194"/>
      <c r="I2007" s="194"/>
      <c r="J2007" s="194"/>
      <c r="K2007" s="194"/>
      <c r="L2007" s="194"/>
    </row>
    <row r="2008" spans="1:12" x14ac:dyDescent="0.3">
      <c r="A2008" s="194"/>
      <c r="B2008" s="194"/>
      <c r="C2008" s="194"/>
      <c r="D2008" s="194"/>
      <c r="E2008" s="194"/>
      <c r="F2008" s="194"/>
      <c r="G2008" s="194"/>
      <c r="H2008" s="194"/>
      <c r="I2008" s="194"/>
      <c r="J2008" s="194"/>
      <c r="K2008" s="194"/>
      <c r="L2008" s="194"/>
    </row>
    <row r="2009" spans="1:12" x14ac:dyDescent="0.3">
      <c r="A2009" s="194"/>
      <c r="B2009" s="194"/>
      <c r="C2009" s="194"/>
      <c r="D2009" s="194"/>
      <c r="E2009" s="194"/>
      <c r="F2009" s="194"/>
      <c r="G2009" s="194"/>
      <c r="H2009" s="194"/>
      <c r="I2009" s="194"/>
      <c r="J2009" s="194"/>
      <c r="K2009" s="194"/>
      <c r="L2009" s="194"/>
    </row>
    <row r="2010" spans="1:12" x14ac:dyDescent="0.3">
      <c r="A2010" s="194"/>
      <c r="B2010" s="194"/>
      <c r="C2010" s="194"/>
      <c r="D2010" s="194"/>
      <c r="E2010" s="194"/>
      <c r="F2010" s="194"/>
      <c r="G2010" s="194"/>
      <c r="H2010" s="194"/>
      <c r="I2010" s="194"/>
      <c r="J2010" s="194"/>
      <c r="K2010" s="194"/>
      <c r="L2010" s="194"/>
    </row>
    <row r="2011" spans="1:12" x14ac:dyDescent="0.3">
      <c r="A2011" s="194"/>
      <c r="B2011" s="194"/>
      <c r="C2011" s="194"/>
      <c r="D2011" s="194"/>
      <c r="E2011" s="194"/>
      <c r="F2011" s="194"/>
      <c r="G2011" s="194"/>
      <c r="H2011" s="194"/>
      <c r="I2011" s="194"/>
      <c r="J2011" s="194"/>
      <c r="K2011" s="194"/>
      <c r="L2011" s="194"/>
    </row>
    <row r="2012" spans="1:12" x14ac:dyDescent="0.3">
      <c r="A2012" s="194"/>
      <c r="B2012" s="194"/>
      <c r="C2012" s="194"/>
      <c r="D2012" s="194"/>
      <c r="E2012" s="194"/>
      <c r="F2012" s="194"/>
      <c r="G2012" s="194"/>
      <c r="H2012" s="194"/>
      <c r="I2012" s="194"/>
      <c r="J2012" s="194"/>
      <c r="K2012" s="194"/>
      <c r="L2012" s="194"/>
    </row>
    <row r="2013" spans="1:12" x14ac:dyDescent="0.3">
      <c r="A2013" s="194"/>
      <c r="B2013" s="194"/>
      <c r="C2013" s="194"/>
      <c r="D2013" s="194"/>
      <c r="E2013" s="194"/>
      <c r="F2013" s="194"/>
      <c r="G2013" s="194"/>
      <c r="H2013" s="194"/>
      <c r="I2013" s="194"/>
      <c r="J2013" s="194"/>
      <c r="K2013" s="194"/>
      <c r="L2013" s="194"/>
    </row>
    <row r="2014" spans="1:12" x14ac:dyDescent="0.3">
      <c r="A2014" s="194"/>
      <c r="B2014" s="194"/>
      <c r="C2014" s="194"/>
      <c r="D2014" s="194"/>
      <c r="E2014" s="194"/>
      <c r="F2014" s="194"/>
      <c r="G2014" s="194"/>
      <c r="H2014" s="194"/>
      <c r="I2014" s="194"/>
      <c r="J2014" s="194"/>
      <c r="K2014" s="194"/>
      <c r="L2014" s="194"/>
    </row>
    <row r="2015" spans="1:12" x14ac:dyDescent="0.3">
      <c r="A2015" s="194"/>
      <c r="B2015" s="194"/>
      <c r="C2015" s="194"/>
      <c r="D2015" s="194"/>
      <c r="E2015" s="194"/>
      <c r="F2015" s="194"/>
      <c r="G2015" s="194"/>
      <c r="H2015" s="194"/>
      <c r="I2015" s="194"/>
      <c r="J2015" s="194"/>
      <c r="K2015" s="194"/>
      <c r="L2015" s="194"/>
    </row>
    <row r="2016" spans="1:12" x14ac:dyDescent="0.3">
      <c r="A2016" s="194"/>
      <c r="B2016" s="194"/>
      <c r="C2016" s="194"/>
      <c r="D2016" s="194"/>
      <c r="E2016" s="194"/>
      <c r="F2016" s="194"/>
      <c r="G2016" s="194"/>
      <c r="H2016" s="194"/>
      <c r="I2016" s="194"/>
      <c r="J2016" s="194"/>
      <c r="K2016" s="194"/>
      <c r="L2016" s="194"/>
    </row>
    <row r="2017" spans="1:12" x14ac:dyDescent="0.3">
      <c r="A2017" s="194"/>
      <c r="B2017" s="194"/>
      <c r="C2017" s="194"/>
      <c r="D2017" s="194"/>
      <c r="E2017" s="194"/>
      <c r="F2017" s="194"/>
      <c r="G2017" s="194"/>
      <c r="H2017" s="194"/>
      <c r="I2017" s="194"/>
      <c r="J2017" s="194"/>
      <c r="K2017" s="194"/>
      <c r="L2017" s="194"/>
    </row>
    <row r="2018" spans="1:12" x14ac:dyDescent="0.3">
      <c r="A2018" s="194"/>
      <c r="B2018" s="194"/>
      <c r="C2018" s="194"/>
      <c r="D2018" s="194"/>
      <c r="E2018" s="194"/>
      <c r="F2018" s="194"/>
      <c r="G2018" s="194"/>
      <c r="H2018" s="194"/>
      <c r="I2018" s="194"/>
      <c r="J2018" s="194"/>
      <c r="K2018" s="194"/>
      <c r="L2018" s="194"/>
    </row>
    <row r="2019" spans="1:12" x14ac:dyDescent="0.3">
      <c r="A2019" s="194"/>
      <c r="B2019" s="194"/>
      <c r="C2019" s="194"/>
      <c r="D2019" s="194"/>
      <c r="E2019" s="194"/>
      <c r="F2019" s="194"/>
      <c r="G2019" s="194"/>
      <c r="H2019" s="194"/>
      <c r="I2019" s="194"/>
      <c r="J2019" s="194"/>
      <c r="K2019" s="194"/>
      <c r="L2019" s="194"/>
    </row>
    <row r="2020" spans="1:12" x14ac:dyDescent="0.3">
      <c r="A2020" s="194"/>
      <c r="B2020" s="194"/>
      <c r="C2020" s="194"/>
      <c r="D2020" s="194"/>
      <c r="E2020" s="194"/>
      <c r="F2020" s="194"/>
      <c r="G2020" s="194"/>
      <c r="H2020" s="194"/>
      <c r="I2020" s="194"/>
      <c r="J2020" s="194"/>
      <c r="K2020" s="194"/>
      <c r="L2020" s="194"/>
    </row>
    <row r="2021" spans="1:12" x14ac:dyDescent="0.3">
      <c r="A2021" s="194"/>
      <c r="B2021" s="194"/>
      <c r="C2021" s="194"/>
      <c r="D2021" s="194"/>
      <c r="E2021" s="194"/>
      <c r="F2021" s="194"/>
      <c r="G2021" s="194"/>
      <c r="H2021" s="194"/>
      <c r="I2021" s="194"/>
      <c r="J2021" s="194"/>
      <c r="K2021" s="194"/>
      <c r="L2021" s="194"/>
    </row>
    <row r="2022" spans="1:12" x14ac:dyDescent="0.3">
      <c r="A2022" s="194"/>
      <c r="B2022" s="194"/>
      <c r="C2022" s="194"/>
      <c r="D2022" s="194"/>
      <c r="E2022" s="194"/>
      <c r="F2022" s="194"/>
      <c r="G2022" s="194"/>
      <c r="H2022" s="194"/>
      <c r="I2022" s="194"/>
      <c r="J2022" s="194"/>
      <c r="K2022" s="194"/>
      <c r="L2022" s="194"/>
    </row>
    <row r="2023" spans="1:12" x14ac:dyDescent="0.3">
      <c r="A2023" s="194"/>
      <c r="B2023" s="194"/>
      <c r="C2023" s="194"/>
      <c r="D2023" s="194"/>
      <c r="E2023" s="194"/>
      <c r="F2023" s="194"/>
      <c r="G2023" s="194"/>
      <c r="H2023" s="194"/>
      <c r="I2023" s="194"/>
      <c r="J2023" s="194"/>
      <c r="K2023" s="194"/>
      <c r="L2023" s="194"/>
    </row>
    <row r="2024" spans="1:12" x14ac:dyDescent="0.3">
      <c r="A2024" s="194"/>
      <c r="B2024" s="194"/>
      <c r="C2024" s="194"/>
      <c r="D2024" s="194"/>
      <c r="E2024" s="194"/>
      <c r="F2024" s="194"/>
      <c r="G2024" s="194"/>
      <c r="H2024" s="194"/>
      <c r="I2024" s="194"/>
      <c r="J2024" s="194"/>
      <c r="K2024" s="194"/>
      <c r="L2024" s="194"/>
    </row>
    <row r="2025" spans="1:12" x14ac:dyDescent="0.3">
      <c r="A2025" s="194"/>
      <c r="B2025" s="194"/>
      <c r="C2025" s="194"/>
      <c r="D2025" s="194"/>
      <c r="E2025" s="194"/>
      <c r="F2025" s="194"/>
      <c r="G2025" s="194"/>
      <c r="H2025" s="194"/>
      <c r="I2025" s="194"/>
      <c r="J2025" s="194"/>
      <c r="K2025" s="194"/>
      <c r="L2025" s="194"/>
    </row>
    <row r="2026" spans="1:12" x14ac:dyDescent="0.3">
      <c r="A2026" s="194"/>
      <c r="B2026" s="194"/>
      <c r="C2026" s="194"/>
      <c r="D2026" s="194"/>
      <c r="E2026" s="194"/>
      <c r="F2026" s="194"/>
      <c r="G2026" s="194"/>
      <c r="H2026" s="194"/>
      <c r="I2026" s="194"/>
      <c r="J2026" s="194"/>
      <c r="K2026" s="194"/>
      <c r="L2026" s="194"/>
    </row>
    <row r="2027" spans="1:12" x14ac:dyDescent="0.3">
      <c r="A2027" s="194"/>
      <c r="B2027" s="194"/>
      <c r="C2027" s="194"/>
      <c r="D2027" s="194"/>
      <c r="E2027" s="194"/>
      <c r="F2027" s="194"/>
      <c r="G2027" s="194"/>
      <c r="H2027" s="194"/>
      <c r="I2027" s="194"/>
      <c r="J2027" s="194"/>
      <c r="K2027" s="194"/>
      <c r="L2027" s="194"/>
    </row>
    <row r="2028" spans="1:12" x14ac:dyDescent="0.3">
      <c r="A2028" s="194"/>
      <c r="B2028" s="194"/>
      <c r="C2028" s="194"/>
      <c r="D2028" s="194"/>
      <c r="E2028" s="194"/>
      <c r="F2028" s="194"/>
      <c r="G2028" s="194"/>
      <c r="H2028" s="194"/>
      <c r="I2028" s="194"/>
      <c r="J2028" s="194"/>
      <c r="K2028" s="194"/>
      <c r="L2028" s="194"/>
    </row>
    <row r="2029" spans="1:12" x14ac:dyDescent="0.3">
      <c r="A2029" s="194"/>
      <c r="B2029" s="194"/>
      <c r="C2029" s="194"/>
      <c r="D2029" s="194"/>
      <c r="E2029" s="194"/>
      <c r="F2029" s="194"/>
      <c r="G2029" s="194"/>
      <c r="H2029" s="194"/>
      <c r="I2029" s="194"/>
      <c r="J2029" s="194"/>
      <c r="K2029" s="194"/>
      <c r="L2029" s="194"/>
    </row>
    <row r="2030" spans="1:12" x14ac:dyDescent="0.3">
      <c r="A2030" s="194"/>
      <c r="B2030" s="194"/>
      <c r="C2030" s="194"/>
      <c r="D2030" s="194"/>
      <c r="E2030" s="194"/>
      <c r="F2030" s="194"/>
      <c r="G2030" s="194"/>
      <c r="H2030" s="194"/>
      <c r="I2030" s="194"/>
      <c r="J2030" s="194"/>
      <c r="K2030" s="194"/>
      <c r="L2030" s="194"/>
    </row>
    <row r="2031" spans="1:12" x14ac:dyDescent="0.3">
      <c r="A2031" s="194"/>
      <c r="B2031" s="194"/>
      <c r="C2031" s="194"/>
      <c r="D2031" s="194"/>
      <c r="E2031" s="194"/>
      <c r="F2031" s="194"/>
      <c r="G2031" s="194"/>
      <c r="H2031" s="194"/>
      <c r="I2031" s="194"/>
      <c r="J2031" s="194"/>
      <c r="K2031" s="194"/>
      <c r="L2031" s="194"/>
    </row>
    <row r="2032" spans="1:12" x14ac:dyDescent="0.3">
      <c r="A2032" s="194"/>
      <c r="B2032" s="194"/>
      <c r="C2032" s="194"/>
      <c r="D2032" s="194"/>
      <c r="E2032" s="194"/>
      <c r="F2032" s="194"/>
      <c r="G2032" s="194"/>
      <c r="H2032" s="194"/>
      <c r="I2032" s="194"/>
      <c r="J2032" s="194"/>
      <c r="K2032" s="194"/>
      <c r="L2032" s="194"/>
    </row>
    <row r="2033" spans="1:12" x14ac:dyDescent="0.3">
      <c r="A2033" s="194"/>
      <c r="B2033" s="194"/>
      <c r="C2033" s="194"/>
      <c r="D2033" s="194"/>
      <c r="E2033" s="194"/>
      <c r="F2033" s="194"/>
      <c r="G2033" s="194"/>
      <c r="H2033" s="194"/>
      <c r="I2033" s="194"/>
      <c r="J2033" s="194"/>
      <c r="K2033" s="194"/>
      <c r="L2033" s="194"/>
    </row>
    <row r="2034" spans="1:12" x14ac:dyDescent="0.3">
      <c r="A2034" s="194"/>
      <c r="B2034" s="194"/>
      <c r="C2034" s="194"/>
      <c r="D2034" s="194"/>
      <c r="E2034" s="194"/>
      <c r="F2034" s="194"/>
      <c r="G2034" s="194"/>
      <c r="H2034" s="194"/>
      <c r="I2034" s="194"/>
      <c r="J2034" s="194"/>
      <c r="K2034" s="194"/>
      <c r="L2034" s="194"/>
    </row>
    <row r="2035" spans="1:12" x14ac:dyDescent="0.3">
      <c r="A2035" s="194"/>
      <c r="B2035" s="194"/>
      <c r="C2035" s="194"/>
      <c r="D2035" s="194"/>
      <c r="E2035" s="194"/>
      <c r="F2035" s="194"/>
      <c r="G2035" s="194"/>
      <c r="H2035" s="194"/>
      <c r="I2035" s="194"/>
      <c r="J2035" s="194"/>
      <c r="K2035" s="194"/>
      <c r="L2035" s="194"/>
    </row>
    <row r="2036" spans="1:12" x14ac:dyDescent="0.3">
      <c r="A2036" s="194"/>
      <c r="B2036" s="194"/>
      <c r="C2036" s="194"/>
      <c r="D2036" s="194"/>
      <c r="E2036" s="194"/>
      <c r="F2036" s="194"/>
      <c r="G2036" s="194"/>
      <c r="H2036" s="194"/>
      <c r="I2036" s="194"/>
      <c r="J2036" s="194"/>
      <c r="K2036" s="194"/>
      <c r="L2036" s="194"/>
    </row>
    <row r="2037" spans="1:12" x14ac:dyDescent="0.3">
      <c r="A2037" s="194"/>
      <c r="B2037" s="194"/>
      <c r="C2037" s="194"/>
      <c r="D2037" s="194"/>
      <c r="E2037" s="194"/>
      <c r="F2037" s="194"/>
      <c r="G2037" s="194"/>
      <c r="H2037" s="194"/>
      <c r="I2037" s="194"/>
      <c r="J2037" s="194"/>
      <c r="K2037" s="194"/>
      <c r="L2037" s="194"/>
    </row>
    <row r="2038" spans="1:12" x14ac:dyDescent="0.3">
      <c r="A2038" s="194"/>
      <c r="B2038" s="194"/>
      <c r="C2038" s="194"/>
      <c r="D2038" s="194"/>
      <c r="E2038" s="194"/>
      <c r="F2038" s="194"/>
      <c r="G2038" s="194"/>
      <c r="H2038" s="194"/>
      <c r="I2038" s="194"/>
      <c r="J2038" s="194"/>
      <c r="K2038" s="194"/>
      <c r="L2038" s="194"/>
    </row>
    <row r="2039" spans="1:12" x14ac:dyDescent="0.3">
      <c r="A2039" s="194"/>
      <c r="B2039" s="194"/>
      <c r="C2039" s="194"/>
      <c r="D2039" s="194"/>
      <c r="E2039" s="194"/>
      <c r="F2039" s="194"/>
      <c r="G2039" s="194"/>
      <c r="H2039" s="194"/>
      <c r="I2039" s="194"/>
      <c r="J2039" s="194"/>
      <c r="K2039" s="194"/>
      <c r="L2039" s="194"/>
    </row>
    <row r="2040" spans="1:12" x14ac:dyDescent="0.3">
      <c r="A2040" s="194"/>
      <c r="B2040" s="194"/>
      <c r="C2040" s="194"/>
      <c r="D2040" s="194"/>
      <c r="E2040" s="194"/>
      <c r="F2040" s="194"/>
      <c r="G2040" s="194"/>
      <c r="H2040" s="194"/>
      <c r="I2040" s="194"/>
      <c r="J2040" s="194"/>
      <c r="K2040" s="194"/>
      <c r="L2040" s="194"/>
    </row>
    <row r="2041" spans="1:12" x14ac:dyDescent="0.3">
      <c r="A2041" s="194"/>
      <c r="B2041" s="194"/>
      <c r="C2041" s="194"/>
      <c r="D2041" s="194"/>
      <c r="E2041" s="194"/>
      <c r="F2041" s="194"/>
      <c r="G2041" s="194"/>
      <c r="H2041" s="194"/>
      <c r="I2041" s="194"/>
      <c r="J2041" s="194"/>
      <c r="K2041" s="194"/>
      <c r="L2041" s="194"/>
    </row>
    <row r="2042" spans="1:12" x14ac:dyDescent="0.3">
      <c r="A2042" s="194"/>
      <c r="B2042" s="194"/>
      <c r="C2042" s="194"/>
      <c r="D2042" s="194"/>
      <c r="E2042" s="194"/>
      <c r="F2042" s="194"/>
      <c r="G2042" s="194"/>
      <c r="H2042" s="194"/>
      <c r="I2042" s="194"/>
      <c r="J2042" s="194"/>
      <c r="K2042" s="194"/>
      <c r="L2042" s="194"/>
    </row>
    <row r="2043" spans="1:12" x14ac:dyDescent="0.3">
      <c r="A2043" s="194"/>
      <c r="B2043" s="194"/>
      <c r="C2043" s="194"/>
      <c r="D2043" s="194"/>
      <c r="E2043" s="194"/>
      <c r="F2043" s="194"/>
      <c r="G2043" s="194"/>
      <c r="H2043" s="194"/>
      <c r="I2043" s="194"/>
      <c r="J2043" s="194"/>
      <c r="K2043" s="194"/>
      <c r="L2043" s="194"/>
    </row>
    <row r="2044" spans="1:12" x14ac:dyDescent="0.3">
      <c r="A2044" s="194"/>
      <c r="B2044" s="194"/>
      <c r="C2044" s="194"/>
      <c r="D2044" s="194"/>
      <c r="E2044" s="194"/>
      <c r="F2044" s="194"/>
      <c r="G2044" s="194"/>
      <c r="H2044" s="194"/>
      <c r="I2044" s="194"/>
      <c r="J2044" s="194"/>
      <c r="K2044" s="194"/>
      <c r="L2044" s="194"/>
    </row>
    <row r="2045" spans="1:12" x14ac:dyDescent="0.3">
      <c r="A2045" s="194"/>
      <c r="B2045" s="194"/>
      <c r="C2045" s="194"/>
      <c r="D2045" s="194"/>
      <c r="E2045" s="194"/>
      <c r="F2045" s="194"/>
      <c r="G2045" s="194"/>
      <c r="H2045" s="194"/>
      <c r="I2045" s="194"/>
      <c r="J2045" s="194"/>
      <c r="K2045" s="194"/>
      <c r="L2045" s="194"/>
    </row>
    <row r="2046" spans="1:12" x14ac:dyDescent="0.3">
      <c r="A2046" s="194"/>
      <c r="B2046" s="194"/>
      <c r="C2046" s="194"/>
      <c r="D2046" s="194"/>
      <c r="E2046" s="194"/>
      <c r="F2046" s="194"/>
      <c r="G2046" s="194"/>
      <c r="H2046" s="194"/>
      <c r="I2046" s="194"/>
      <c r="J2046" s="194"/>
      <c r="K2046" s="194"/>
      <c r="L2046" s="194"/>
    </row>
    <row r="2047" spans="1:12" x14ac:dyDescent="0.3">
      <c r="A2047" s="194"/>
      <c r="B2047" s="194"/>
      <c r="C2047" s="194"/>
      <c r="D2047" s="194"/>
      <c r="E2047" s="194"/>
      <c r="F2047" s="194"/>
      <c r="G2047" s="194"/>
      <c r="H2047" s="194"/>
      <c r="I2047" s="194"/>
      <c r="J2047" s="194"/>
      <c r="K2047" s="194"/>
      <c r="L2047" s="194"/>
    </row>
    <row r="2048" spans="1:12" x14ac:dyDescent="0.3">
      <c r="A2048" s="194"/>
      <c r="B2048" s="194"/>
      <c r="C2048" s="194"/>
      <c r="D2048" s="194"/>
      <c r="E2048" s="194"/>
      <c r="F2048" s="194"/>
      <c r="G2048" s="194"/>
      <c r="H2048" s="194"/>
      <c r="I2048" s="194"/>
      <c r="J2048" s="194"/>
      <c r="K2048" s="194"/>
      <c r="L2048" s="194"/>
    </row>
    <row r="2049" spans="1:12" x14ac:dyDescent="0.3">
      <c r="A2049" s="194"/>
      <c r="B2049" s="194"/>
      <c r="C2049" s="194"/>
      <c r="D2049" s="194"/>
      <c r="E2049" s="194"/>
      <c r="F2049" s="194"/>
      <c r="G2049" s="194"/>
      <c r="H2049" s="194"/>
      <c r="I2049" s="194"/>
      <c r="J2049" s="194"/>
      <c r="K2049" s="194"/>
      <c r="L2049" s="194"/>
    </row>
    <row r="2050" spans="1:12" x14ac:dyDescent="0.3">
      <c r="A2050" s="194"/>
      <c r="B2050" s="194"/>
      <c r="C2050" s="194"/>
      <c r="D2050" s="194"/>
      <c r="E2050" s="194"/>
      <c r="F2050" s="194"/>
      <c r="G2050" s="194"/>
      <c r="H2050" s="194"/>
      <c r="I2050" s="194"/>
      <c r="J2050" s="194"/>
      <c r="K2050" s="194"/>
      <c r="L2050" s="194"/>
    </row>
    <row r="2051" spans="1:12" x14ac:dyDescent="0.3">
      <c r="A2051" s="194"/>
      <c r="B2051" s="194"/>
      <c r="C2051" s="194"/>
      <c r="D2051" s="194"/>
      <c r="E2051" s="194"/>
      <c r="F2051" s="194"/>
      <c r="G2051" s="194"/>
      <c r="H2051" s="194"/>
      <c r="I2051" s="194"/>
      <c r="J2051" s="194"/>
      <c r="K2051" s="194"/>
      <c r="L2051" s="194"/>
    </row>
    <row r="2052" spans="1:12" x14ac:dyDescent="0.3">
      <c r="A2052" s="194"/>
      <c r="B2052" s="194"/>
      <c r="C2052" s="194"/>
      <c r="D2052" s="194"/>
      <c r="E2052" s="194"/>
      <c r="F2052" s="194"/>
      <c r="G2052" s="194"/>
      <c r="H2052" s="194"/>
      <c r="I2052" s="194"/>
      <c r="J2052" s="194"/>
      <c r="K2052" s="194"/>
      <c r="L2052" s="194"/>
    </row>
    <row r="2053" spans="1:12" x14ac:dyDescent="0.3">
      <c r="A2053" s="194"/>
      <c r="B2053" s="194"/>
      <c r="C2053" s="194"/>
      <c r="D2053" s="194"/>
      <c r="E2053" s="194"/>
      <c r="F2053" s="194"/>
      <c r="G2053" s="194"/>
      <c r="H2053" s="194"/>
      <c r="I2053" s="194"/>
      <c r="J2053" s="194"/>
      <c r="K2053" s="194"/>
      <c r="L2053" s="194"/>
    </row>
    <row r="2054" spans="1:12" x14ac:dyDescent="0.3">
      <c r="A2054" s="194"/>
      <c r="B2054" s="194"/>
      <c r="C2054" s="194"/>
      <c r="D2054" s="194"/>
      <c r="E2054" s="194"/>
      <c r="F2054" s="194"/>
      <c r="G2054" s="194"/>
      <c r="H2054" s="194"/>
      <c r="I2054" s="194"/>
      <c r="J2054" s="194"/>
      <c r="K2054" s="194"/>
      <c r="L2054" s="194"/>
    </row>
    <row r="2055" spans="1:12" x14ac:dyDescent="0.3">
      <c r="A2055" s="194"/>
      <c r="B2055" s="194"/>
      <c r="C2055" s="194"/>
      <c r="D2055" s="194"/>
      <c r="E2055" s="194"/>
      <c r="F2055" s="194"/>
      <c r="G2055" s="194"/>
      <c r="H2055" s="194"/>
      <c r="I2055" s="194"/>
      <c r="J2055" s="194"/>
      <c r="K2055" s="194"/>
      <c r="L2055" s="194"/>
    </row>
    <row r="2056" spans="1:12" x14ac:dyDescent="0.3">
      <c r="A2056" s="194"/>
      <c r="B2056" s="194"/>
      <c r="C2056" s="194"/>
      <c r="D2056" s="194"/>
      <c r="E2056" s="194"/>
      <c r="F2056" s="194"/>
      <c r="G2056" s="194"/>
      <c r="H2056" s="194"/>
      <c r="I2056" s="194"/>
      <c r="J2056" s="194"/>
      <c r="K2056" s="194"/>
      <c r="L2056" s="194"/>
    </row>
    <row r="2057" spans="1:12" x14ac:dyDescent="0.3">
      <c r="A2057" s="194"/>
      <c r="B2057" s="194"/>
      <c r="C2057" s="194"/>
      <c r="D2057" s="194"/>
      <c r="E2057" s="194"/>
      <c r="F2057" s="194"/>
      <c r="G2057" s="194"/>
      <c r="H2057" s="194"/>
      <c r="I2057" s="194"/>
      <c r="J2057" s="194"/>
      <c r="K2057" s="194"/>
      <c r="L2057" s="194"/>
    </row>
    <row r="2058" spans="1:12" x14ac:dyDescent="0.3">
      <c r="A2058" s="194"/>
      <c r="B2058" s="194"/>
      <c r="C2058" s="194"/>
      <c r="D2058" s="194"/>
      <c r="E2058" s="194"/>
      <c r="F2058" s="194"/>
      <c r="G2058" s="194"/>
      <c r="H2058" s="194"/>
      <c r="I2058" s="194"/>
      <c r="J2058" s="194"/>
      <c r="K2058" s="194"/>
      <c r="L2058" s="194"/>
    </row>
    <row r="2059" spans="1:12" x14ac:dyDescent="0.3">
      <c r="A2059" s="194"/>
      <c r="B2059" s="194"/>
      <c r="C2059" s="194"/>
      <c r="D2059" s="194"/>
      <c r="E2059" s="194"/>
      <c r="F2059" s="194"/>
      <c r="G2059" s="194"/>
      <c r="H2059" s="194"/>
      <c r="I2059" s="194"/>
      <c r="J2059" s="194"/>
      <c r="K2059" s="194"/>
      <c r="L2059" s="194"/>
    </row>
    <row r="2060" spans="1:12" x14ac:dyDescent="0.3">
      <c r="A2060" s="194"/>
      <c r="B2060" s="194"/>
      <c r="C2060" s="194"/>
      <c r="D2060" s="194"/>
      <c r="E2060" s="194"/>
      <c r="F2060" s="194"/>
      <c r="G2060" s="194"/>
      <c r="H2060" s="194"/>
      <c r="I2060" s="194"/>
      <c r="J2060" s="194"/>
      <c r="K2060" s="194"/>
      <c r="L2060" s="194"/>
    </row>
    <row r="2061" spans="1:12" x14ac:dyDescent="0.3">
      <c r="A2061" s="194"/>
      <c r="B2061" s="194"/>
      <c r="C2061" s="194"/>
      <c r="D2061" s="194"/>
      <c r="E2061" s="194"/>
      <c r="F2061" s="194"/>
      <c r="G2061" s="194"/>
      <c r="H2061" s="194"/>
      <c r="I2061" s="194"/>
      <c r="J2061" s="194"/>
      <c r="K2061" s="194"/>
      <c r="L2061" s="194"/>
    </row>
    <row r="2062" spans="1:12" x14ac:dyDescent="0.3">
      <c r="A2062" s="194"/>
      <c r="B2062" s="194"/>
      <c r="C2062" s="194"/>
      <c r="D2062" s="194"/>
      <c r="E2062" s="194"/>
      <c r="F2062" s="194"/>
      <c r="G2062" s="194"/>
      <c r="H2062" s="194"/>
      <c r="I2062" s="194"/>
      <c r="J2062" s="194"/>
      <c r="K2062" s="194"/>
      <c r="L2062" s="194"/>
    </row>
    <row r="2063" spans="1:12" x14ac:dyDescent="0.3">
      <c r="A2063" s="194"/>
      <c r="B2063" s="194"/>
      <c r="C2063" s="194"/>
      <c r="D2063" s="194"/>
      <c r="E2063" s="194"/>
      <c r="F2063" s="194"/>
      <c r="G2063" s="194"/>
      <c r="H2063" s="194"/>
      <c r="I2063" s="194"/>
      <c r="J2063" s="194"/>
      <c r="K2063" s="194"/>
      <c r="L2063" s="194"/>
    </row>
    <row r="2064" spans="1:12" x14ac:dyDescent="0.3">
      <c r="A2064" s="194"/>
      <c r="B2064" s="194"/>
      <c r="C2064" s="194"/>
      <c r="D2064" s="194"/>
      <c r="E2064" s="194"/>
      <c r="F2064" s="194"/>
      <c r="G2064" s="194"/>
      <c r="H2064" s="194"/>
      <c r="I2064" s="194"/>
      <c r="J2064" s="194"/>
      <c r="K2064" s="194"/>
      <c r="L2064" s="194"/>
    </row>
    <row r="2065" spans="1:12" x14ac:dyDescent="0.3">
      <c r="A2065" s="194"/>
      <c r="B2065" s="194"/>
      <c r="C2065" s="194"/>
      <c r="D2065" s="194"/>
      <c r="E2065" s="194"/>
      <c r="F2065" s="194"/>
      <c r="G2065" s="194"/>
      <c r="H2065" s="194"/>
      <c r="I2065" s="194"/>
      <c r="J2065" s="194"/>
      <c r="K2065" s="194"/>
      <c r="L2065" s="194"/>
    </row>
    <row r="2066" spans="1:12" x14ac:dyDescent="0.3">
      <c r="A2066" s="194"/>
      <c r="B2066" s="194"/>
      <c r="C2066" s="194"/>
      <c r="D2066" s="194"/>
      <c r="E2066" s="194"/>
      <c r="F2066" s="194"/>
      <c r="G2066" s="194"/>
      <c r="H2066" s="194"/>
      <c r="I2066" s="194"/>
      <c r="J2066" s="194"/>
      <c r="K2066" s="194"/>
      <c r="L2066" s="194"/>
    </row>
    <row r="2067" spans="1:12" x14ac:dyDescent="0.3">
      <c r="A2067" s="194"/>
      <c r="B2067" s="194"/>
      <c r="C2067" s="194"/>
      <c r="D2067" s="194"/>
      <c r="E2067" s="194"/>
      <c r="F2067" s="194"/>
      <c r="G2067" s="194"/>
      <c r="H2067" s="194"/>
      <c r="I2067" s="194"/>
      <c r="J2067" s="194"/>
      <c r="K2067" s="194"/>
      <c r="L2067" s="194"/>
    </row>
    <row r="2068" spans="1:12" x14ac:dyDescent="0.3">
      <c r="A2068" s="194"/>
      <c r="B2068" s="194"/>
      <c r="C2068" s="194"/>
      <c r="D2068" s="194"/>
      <c r="E2068" s="194"/>
      <c r="F2068" s="194"/>
      <c r="G2068" s="194"/>
      <c r="H2068" s="194"/>
      <c r="I2068" s="194"/>
      <c r="J2068" s="194"/>
      <c r="K2068" s="194"/>
      <c r="L2068" s="194"/>
    </row>
    <row r="2069" spans="1:12" x14ac:dyDescent="0.3">
      <c r="A2069" s="194"/>
      <c r="B2069" s="194"/>
      <c r="C2069" s="194"/>
      <c r="D2069" s="194"/>
      <c r="E2069" s="194"/>
      <c r="F2069" s="194"/>
      <c r="G2069" s="194"/>
      <c r="H2069" s="194"/>
      <c r="I2069" s="194"/>
      <c r="J2069" s="194"/>
      <c r="K2069" s="194"/>
      <c r="L2069" s="194"/>
    </row>
    <row r="2070" spans="1:12" x14ac:dyDescent="0.3">
      <c r="A2070" s="194"/>
      <c r="B2070" s="194"/>
      <c r="C2070" s="194"/>
      <c r="D2070" s="194"/>
      <c r="E2070" s="194"/>
      <c r="F2070" s="194"/>
      <c r="G2070" s="194"/>
      <c r="H2070" s="194"/>
      <c r="I2070" s="194"/>
      <c r="J2070" s="194"/>
      <c r="K2070" s="194"/>
      <c r="L2070" s="194"/>
    </row>
    <row r="2071" spans="1:12" x14ac:dyDescent="0.3">
      <c r="A2071" s="194"/>
      <c r="B2071" s="194"/>
      <c r="C2071" s="194"/>
      <c r="D2071" s="194"/>
      <c r="E2071" s="194"/>
      <c r="F2071" s="194"/>
      <c r="G2071" s="194"/>
      <c r="H2071" s="194"/>
      <c r="I2071" s="194"/>
      <c r="J2071" s="194"/>
      <c r="K2071" s="194"/>
      <c r="L2071" s="194"/>
    </row>
    <row r="2072" spans="1:12" x14ac:dyDescent="0.3">
      <c r="A2072" s="194"/>
      <c r="B2072" s="194"/>
      <c r="C2072" s="194"/>
      <c r="D2072" s="194"/>
      <c r="E2072" s="194"/>
      <c r="F2072" s="194"/>
      <c r="G2072" s="194"/>
      <c r="H2072" s="194"/>
      <c r="I2072" s="194"/>
      <c r="J2072" s="194"/>
      <c r="K2072" s="194"/>
      <c r="L2072" s="194"/>
    </row>
    <row r="2073" spans="1:12" x14ac:dyDescent="0.3">
      <c r="A2073" s="194"/>
      <c r="B2073" s="194"/>
      <c r="C2073" s="194"/>
      <c r="D2073" s="194"/>
      <c r="E2073" s="194"/>
      <c r="F2073" s="194"/>
      <c r="G2073" s="194"/>
      <c r="H2073" s="194"/>
      <c r="I2073" s="194"/>
      <c r="J2073" s="194"/>
      <c r="K2073" s="194"/>
      <c r="L2073" s="194"/>
    </row>
    <row r="2074" spans="1:12" x14ac:dyDescent="0.3">
      <c r="A2074" s="194"/>
      <c r="B2074" s="194"/>
      <c r="C2074" s="194"/>
      <c r="D2074" s="194"/>
      <c r="E2074" s="194"/>
      <c r="F2074" s="194"/>
      <c r="G2074" s="194"/>
      <c r="H2074" s="194"/>
      <c r="I2074" s="194"/>
      <c r="J2074" s="194"/>
      <c r="K2074" s="194"/>
      <c r="L2074" s="194"/>
    </row>
    <row r="2075" spans="1:12" x14ac:dyDescent="0.3">
      <c r="A2075" s="194"/>
      <c r="B2075" s="194"/>
      <c r="C2075" s="194"/>
      <c r="D2075" s="194"/>
      <c r="E2075" s="194"/>
      <c r="F2075" s="194"/>
      <c r="G2075" s="194"/>
      <c r="H2075" s="194"/>
      <c r="I2075" s="194"/>
      <c r="J2075" s="194"/>
      <c r="K2075" s="194"/>
      <c r="L2075" s="194"/>
    </row>
    <row r="2076" spans="1:12" x14ac:dyDescent="0.3">
      <c r="A2076" s="194"/>
      <c r="B2076" s="194"/>
      <c r="C2076" s="194"/>
      <c r="D2076" s="194"/>
      <c r="E2076" s="194"/>
      <c r="F2076" s="194"/>
      <c r="G2076" s="194"/>
      <c r="H2076" s="194"/>
      <c r="I2076" s="194"/>
      <c r="J2076" s="194"/>
      <c r="K2076" s="194"/>
      <c r="L2076" s="194"/>
    </row>
    <row r="2077" spans="1:12" x14ac:dyDescent="0.3">
      <c r="A2077" s="194"/>
      <c r="B2077" s="194"/>
      <c r="C2077" s="194"/>
      <c r="D2077" s="194"/>
      <c r="E2077" s="194"/>
      <c r="F2077" s="194"/>
      <c r="G2077" s="194"/>
      <c r="H2077" s="194"/>
      <c r="I2077" s="194"/>
      <c r="J2077" s="194"/>
      <c r="K2077" s="194"/>
      <c r="L2077" s="194"/>
    </row>
    <row r="2078" spans="1:12" x14ac:dyDescent="0.3">
      <c r="A2078" s="194"/>
      <c r="B2078" s="194"/>
      <c r="C2078" s="194"/>
      <c r="D2078" s="194"/>
      <c r="E2078" s="194"/>
      <c r="F2078" s="194"/>
      <c r="G2078" s="194"/>
      <c r="H2078" s="194"/>
      <c r="I2078" s="194"/>
      <c r="J2078" s="194"/>
      <c r="K2078" s="194"/>
      <c r="L2078" s="194"/>
    </row>
    <row r="2079" spans="1:12" x14ac:dyDescent="0.3">
      <c r="A2079" s="194"/>
      <c r="B2079" s="194"/>
      <c r="C2079" s="194"/>
      <c r="D2079" s="194"/>
      <c r="E2079" s="194"/>
      <c r="F2079" s="194"/>
      <c r="G2079" s="194"/>
      <c r="H2079" s="194"/>
      <c r="I2079" s="194"/>
      <c r="J2079" s="194"/>
      <c r="K2079" s="194"/>
      <c r="L2079" s="194"/>
    </row>
    <row r="2080" spans="1:12" x14ac:dyDescent="0.3">
      <c r="A2080" s="194"/>
      <c r="B2080" s="194"/>
      <c r="C2080" s="194"/>
      <c r="D2080" s="194"/>
      <c r="E2080" s="194"/>
      <c r="F2080" s="194"/>
      <c r="G2080" s="194"/>
      <c r="H2080" s="194"/>
      <c r="I2080" s="194"/>
      <c r="J2080" s="194"/>
      <c r="K2080" s="194"/>
      <c r="L2080" s="194"/>
    </row>
    <row r="2081" spans="1:12" x14ac:dyDescent="0.3">
      <c r="A2081" s="194"/>
      <c r="B2081" s="194"/>
      <c r="C2081" s="194"/>
      <c r="D2081" s="194"/>
      <c r="E2081" s="194"/>
      <c r="F2081" s="194"/>
      <c r="G2081" s="194"/>
      <c r="H2081" s="194"/>
      <c r="I2081" s="194"/>
      <c r="J2081" s="194"/>
      <c r="K2081" s="194"/>
      <c r="L2081" s="194"/>
    </row>
    <row r="2082" spans="1:12" x14ac:dyDescent="0.3">
      <c r="A2082" s="194"/>
      <c r="B2082" s="194"/>
      <c r="C2082" s="194"/>
      <c r="D2082" s="194"/>
      <c r="E2082" s="194"/>
      <c r="F2082" s="194"/>
      <c r="G2082" s="194"/>
      <c r="H2082" s="194"/>
      <c r="I2082" s="194"/>
      <c r="J2082" s="194"/>
      <c r="K2082" s="194"/>
      <c r="L2082" s="194"/>
    </row>
    <row r="2083" spans="1:12" x14ac:dyDescent="0.3">
      <c r="A2083" s="194"/>
      <c r="B2083" s="194"/>
      <c r="C2083" s="194"/>
      <c r="D2083" s="194"/>
      <c r="E2083" s="194"/>
      <c r="F2083" s="194"/>
      <c r="G2083" s="194"/>
      <c r="H2083" s="194"/>
      <c r="I2083" s="194"/>
      <c r="J2083" s="194"/>
      <c r="K2083" s="194"/>
      <c r="L2083" s="194"/>
    </row>
    <row r="2084" spans="1:12" x14ac:dyDescent="0.3">
      <c r="A2084" s="194"/>
      <c r="B2084" s="194"/>
      <c r="C2084" s="194"/>
      <c r="D2084" s="194"/>
      <c r="E2084" s="194"/>
      <c r="F2084" s="194"/>
      <c r="G2084" s="194"/>
      <c r="H2084" s="194"/>
      <c r="I2084" s="194"/>
      <c r="J2084" s="194"/>
      <c r="K2084" s="194"/>
      <c r="L2084" s="194"/>
    </row>
    <row r="2085" spans="1:12" x14ac:dyDescent="0.3">
      <c r="A2085" s="194"/>
      <c r="B2085" s="194"/>
      <c r="C2085" s="194"/>
      <c r="D2085" s="194"/>
      <c r="E2085" s="194"/>
      <c r="F2085" s="194"/>
      <c r="G2085" s="194"/>
      <c r="H2085" s="194"/>
      <c r="I2085" s="194"/>
      <c r="J2085" s="194"/>
      <c r="K2085" s="194"/>
      <c r="L2085" s="194"/>
    </row>
    <row r="2086" spans="1:12" x14ac:dyDescent="0.3">
      <c r="A2086" s="194"/>
      <c r="B2086" s="194"/>
      <c r="C2086" s="194"/>
      <c r="D2086" s="194"/>
      <c r="E2086" s="194"/>
      <c r="F2086" s="194"/>
      <c r="G2086" s="194"/>
      <c r="H2086" s="194"/>
      <c r="I2086" s="194"/>
      <c r="J2086" s="194"/>
      <c r="K2086" s="194"/>
      <c r="L2086" s="194"/>
    </row>
    <row r="2087" spans="1:12" x14ac:dyDescent="0.3">
      <c r="A2087" s="194"/>
      <c r="B2087" s="194"/>
      <c r="C2087" s="194"/>
      <c r="D2087" s="194"/>
      <c r="E2087" s="194"/>
      <c r="F2087" s="194"/>
      <c r="G2087" s="194"/>
      <c r="H2087" s="194"/>
      <c r="I2087" s="194"/>
      <c r="J2087" s="194"/>
      <c r="K2087" s="194"/>
      <c r="L2087" s="194"/>
    </row>
    <row r="2088" spans="1:12" x14ac:dyDescent="0.3">
      <c r="A2088" s="194"/>
      <c r="B2088" s="194"/>
      <c r="C2088" s="194"/>
      <c r="D2088" s="194"/>
      <c r="E2088" s="194"/>
      <c r="F2088" s="194"/>
      <c r="G2088" s="194"/>
      <c r="H2088" s="194"/>
      <c r="I2088" s="194"/>
      <c r="J2088" s="194"/>
      <c r="K2088" s="194"/>
      <c r="L2088" s="194"/>
    </row>
    <row r="2089" spans="1:12" x14ac:dyDescent="0.3">
      <c r="A2089" s="194"/>
      <c r="B2089" s="194"/>
      <c r="C2089" s="194"/>
      <c r="D2089" s="194"/>
      <c r="E2089" s="194"/>
      <c r="F2089" s="194"/>
      <c r="G2089" s="194"/>
      <c r="H2089" s="194"/>
      <c r="I2089" s="194"/>
      <c r="J2089" s="194"/>
      <c r="K2089" s="194"/>
      <c r="L2089" s="194"/>
    </row>
    <row r="2090" spans="1:12" x14ac:dyDescent="0.3">
      <c r="A2090" s="194"/>
      <c r="B2090" s="194"/>
      <c r="C2090" s="194"/>
      <c r="D2090" s="194"/>
      <c r="E2090" s="194"/>
      <c r="F2090" s="194"/>
      <c r="G2090" s="194"/>
      <c r="H2090" s="194"/>
      <c r="I2090" s="194"/>
      <c r="J2090" s="194"/>
      <c r="K2090" s="194"/>
      <c r="L2090" s="194"/>
    </row>
    <row r="2091" spans="1:12" x14ac:dyDescent="0.3">
      <c r="A2091" s="194"/>
      <c r="B2091" s="194"/>
      <c r="C2091" s="194"/>
      <c r="D2091" s="194"/>
      <c r="E2091" s="194"/>
      <c r="F2091" s="194"/>
      <c r="G2091" s="194"/>
      <c r="H2091" s="194"/>
      <c r="I2091" s="194"/>
      <c r="J2091" s="194"/>
      <c r="K2091" s="194"/>
      <c r="L2091" s="194"/>
    </row>
    <row r="2092" spans="1:12" x14ac:dyDescent="0.3">
      <c r="A2092" s="194"/>
      <c r="B2092" s="194"/>
      <c r="C2092" s="194"/>
      <c r="D2092" s="194"/>
      <c r="E2092" s="194"/>
      <c r="F2092" s="194"/>
      <c r="G2092" s="194"/>
      <c r="H2092" s="194"/>
      <c r="I2092" s="194"/>
      <c r="J2092" s="194"/>
      <c r="K2092" s="194"/>
      <c r="L2092" s="194"/>
    </row>
    <row r="2093" spans="1:12" x14ac:dyDescent="0.3">
      <c r="A2093" s="194"/>
      <c r="B2093" s="194"/>
      <c r="C2093" s="194"/>
      <c r="D2093" s="194"/>
      <c r="E2093" s="194"/>
      <c r="F2093" s="194"/>
      <c r="G2093" s="194"/>
      <c r="H2093" s="194"/>
      <c r="I2093" s="194"/>
      <c r="J2093" s="194"/>
      <c r="K2093" s="194"/>
      <c r="L2093" s="194"/>
    </row>
    <row r="2094" spans="1:12" x14ac:dyDescent="0.3">
      <c r="A2094" s="194"/>
      <c r="B2094" s="194"/>
      <c r="C2094" s="194"/>
      <c r="D2094" s="194"/>
      <c r="E2094" s="194"/>
      <c r="F2094" s="194"/>
      <c r="G2094" s="194"/>
      <c r="H2094" s="194"/>
      <c r="I2094" s="194"/>
      <c r="J2094" s="194"/>
      <c r="K2094" s="194"/>
      <c r="L2094" s="194"/>
    </row>
    <row r="2095" spans="1:12" x14ac:dyDescent="0.3">
      <c r="A2095" s="194"/>
      <c r="B2095" s="194"/>
      <c r="C2095" s="194"/>
      <c r="D2095" s="194"/>
      <c r="E2095" s="194"/>
      <c r="F2095" s="194"/>
      <c r="G2095" s="194"/>
      <c r="H2095" s="194"/>
      <c r="I2095" s="194"/>
      <c r="J2095" s="194"/>
      <c r="K2095" s="194"/>
      <c r="L2095" s="194"/>
    </row>
    <row r="2096" spans="1:12" x14ac:dyDescent="0.3">
      <c r="A2096" s="194"/>
      <c r="B2096" s="194"/>
      <c r="C2096" s="194"/>
      <c r="D2096" s="194"/>
      <c r="E2096" s="194"/>
      <c r="F2096" s="194"/>
      <c r="G2096" s="194"/>
      <c r="H2096" s="194"/>
      <c r="I2096" s="194"/>
      <c r="J2096" s="194"/>
      <c r="K2096" s="194"/>
      <c r="L2096" s="194"/>
    </row>
    <row r="2097" spans="1:12" x14ac:dyDescent="0.3">
      <c r="A2097" s="194"/>
      <c r="B2097" s="194"/>
      <c r="C2097" s="194"/>
      <c r="D2097" s="194"/>
      <c r="E2097" s="194"/>
      <c r="F2097" s="194"/>
      <c r="G2097" s="194"/>
      <c r="H2097" s="194"/>
      <c r="I2097" s="194"/>
      <c r="J2097" s="194"/>
      <c r="K2097" s="194"/>
      <c r="L2097" s="194"/>
    </row>
    <row r="2098" spans="1:12" x14ac:dyDescent="0.3">
      <c r="A2098" s="194"/>
      <c r="B2098" s="194"/>
      <c r="C2098" s="194"/>
      <c r="D2098" s="194"/>
      <c r="E2098" s="194"/>
      <c r="F2098" s="194"/>
      <c r="G2098" s="194"/>
      <c r="H2098" s="194"/>
      <c r="I2098" s="194"/>
      <c r="J2098" s="194"/>
      <c r="K2098" s="194"/>
      <c r="L2098" s="194"/>
    </row>
    <row r="2099" spans="1:12" x14ac:dyDescent="0.3">
      <c r="A2099" s="194"/>
      <c r="B2099" s="194"/>
      <c r="C2099" s="194"/>
      <c r="D2099" s="194"/>
      <c r="E2099" s="194"/>
      <c r="F2099" s="194"/>
      <c r="G2099" s="194"/>
      <c r="H2099" s="194"/>
      <c r="I2099" s="194"/>
      <c r="J2099" s="194"/>
      <c r="K2099" s="194"/>
      <c r="L2099" s="194"/>
    </row>
    <row r="2100" spans="1:12" x14ac:dyDescent="0.3">
      <c r="A2100" s="194"/>
      <c r="B2100" s="194"/>
      <c r="C2100" s="194"/>
      <c r="D2100" s="194"/>
      <c r="E2100" s="194"/>
      <c r="F2100" s="194"/>
      <c r="G2100" s="194"/>
      <c r="H2100" s="194"/>
      <c r="I2100" s="194"/>
      <c r="J2100" s="194"/>
      <c r="K2100" s="194"/>
      <c r="L2100" s="194"/>
    </row>
    <row r="2101" spans="1:12" x14ac:dyDescent="0.3">
      <c r="A2101" s="194"/>
      <c r="B2101" s="194"/>
      <c r="C2101" s="194"/>
      <c r="D2101" s="194"/>
      <c r="E2101" s="194"/>
      <c r="F2101" s="194"/>
      <c r="G2101" s="194"/>
      <c r="H2101" s="194"/>
      <c r="I2101" s="194"/>
      <c r="J2101" s="194"/>
      <c r="K2101" s="194"/>
      <c r="L2101" s="194"/>
    </row>
    <row r="2102" spans="1:12" x14ac:dyDescent="0.3">
      <c r="A2102" s="194"/>
      <c r="B2102" s="194"/>
      <c r="C2102" s="194"/>
      <c r="D2102" s="194"/>
      <c r="E2102" s="194"/>
      <c r="F2102" s="194"/>
      <c r="G2102" s="194"/>
      <c r="H2102" s="194"/>
      <c r="I2102" s="194"/>
      <c r="J2102" s="194"/>
      <c r="K2102" s="194"/>
      <c r="L2102" s="194"/>
    </row>
    <row r="2103" spans="1:12" x14ac:dyDescent="0.3">
      <c r="A2103" s="194"/>
      <c r="B2103" s="194"/>
      <c r="C2103" s="194"/>
      <c r="D2103" s="194"/>
      <c r="E2103" s="194"/>
      <c r="F2103" s="194"/>
      <c r="G2103" s="194"/>
      <c r="H2103" s="194"/>
      <c r="I2103" s="194"/>
      <c r="J2103" s="194"/>
      <c r="K2103" s="194"/>
      <c r="L2103" s="194"/>
    </row>
    <row r="2104" spans="1:12" x14ac:dyDescent="0.3">
      <c r="A2104" s="194"/>
      <c r="B2104" s="194"/>
      <c r="C2104" s="194"/>
      <c r="D2104" s="194"/>
      <c r="E2104" s="194"/>
      <c r="F2104" s="194"/>
      <c r="G2104" s="194"/>
      <c r="H2104" s="194"/>
      <c r="I2104" s="194"/>
      <c r="J2104" s="194"/>
      <c r="K2104" s="194"/>
      <c r="L2104" s="194"/>
    </row>
    <row r="2105" spans="1:12" x14ac:dyDescent="0.3">
      <c r="A2105" s="194"/>
      <c r="B2105" s="194"/>
      <c r="C2105" s="194"/>
      <c r="D2105" s="194"/>
      <c r="E2105" s="194"/>
      <c r="F2105" s="194"/>
      <c r="G2105" s="194"/>
      <c r="H2105" s="194"/>
      <c r="I2105" s="194"/>
      <c r="J2105" s="194"/>
      <c r="K2105" s="194"/>
      <c r="L2105" s="194"/>
    </row>
    <row r="2106" spans="1:12" x14ac:dyDescent="0.3">
      <c r="A2106" s="194"/>
      <c r="B2106" s="194"/>
      <c r="C2106" s="194"/>
      <c r="D2106" s="194"/>
      <c r="E2106" s="194"/>
      <c r="F2106" s="194"/>
      <c r="G2106" s="194"/>
      <c r="H2106" s="194"/>
      <c r="I2106" s="194"/>
      <c r="J2106" s="194"/>
      <c r="K2106" s="194"/>
      <c r="L2106" s="194"/>
    </row>
    <row r="2107" spans="1:12" x14ac:dyDescent="0.3">
      <c r="A2107" s="194"/>
      <c r="B2107" s="194"/>
      <c r="C2107" s="194"/>
      <c r="D2107" s="194"/>
      <c r="E2107" s="194"/>
      <c r="F2107" s="194"/>
      <c r="G2107" s="194"/>
      <c r="H2107" s="194"/>
      <c r="I2107" s="194"/>
      <c r="J2107" s="194"/>
      <c r="K2107" s="194"/>
      <c r="L2107" s="194"/>
    </row>
    <row r="2108" spans="1:12" x14ac:dyDescent="0.3">
      <c r="A2108" s="194"/>
      <c r="B2108" s="194"/>
      <c r="C2108" s="194"/>
      <c r="D2108" s="194"/>
      <c r="E2108" s="194"/>
      <c r="F2108" s="194"/>
      <c r="G2108" s="194"/>
      <c r="H2108" s="194"/>
      <c r="I2108" s="194"/>
      <c r="J2108" s="194"/>
      <c r="K2108" s="194"/>
      <c r="L2108" s="194"/>
    </row>
    <row r="2109" spans="1:12" x14ac:dyDescent="0.3">
      <c r="A2109" s="194"/>
      <c r="B2109" s="194"/>
      <c r="C2109" s="194"/>
      <c r="D2109" s="194"/>
      <c r="E2109" s="194"/>
      <c r="F2109" s="194"/>
      <c r="G2109" s="194"/>
      <c r="H2109" s="194"/>
      <c r="I2109" s="194"/>
      <c r="J2109" s="194"/>
      <c r="K2109" s="194"/>
      <c r="L2109" s="194"/>
    </row>
    <row r="2110" spans="1:12" x14ac:dyDescent="0.3">
      <c r="A2110" s="194"/>
      <c r="B2110" s="194"/>
      <c r="C2110" s="194"/>
      <c r="D2110" s="194"/>
      <c r="E2110" s="194"/>
      <c r="F2110" s="194"/>
      <c r="G2110" s="194"/>
      <c r="H2110" s="194"/>
      <c r="I2110" s="194"/>
      <c r="J2110" s="194"/>
      <c r="K2110" s="194"/>
      <c r="L2110" s="194"/>
    </row>
    <row r="2111" spans="1:12" x14ac:dyDescent="0.3">
      <c r="A2111" s="194"/>
      <c r="B2111" s="194"/>
      <c r="C2111" s="194"/>
      <c r="D2111" s="194"/>
      <c r="E2111" s="194"/>
      <c r="F2111" s="194"/>
      <c r="G2111" s="194"/>
      <c r="H2111" s="194"/>
      <c r="I2111" s="194"/>
      <c r="J2111" s="194"/>
      <c r="K2111" s="194"/>
      <c r="L2111" s="194"/>
    </row>
    <row r="2112" spans="1:12" x14ac:dyDescent="0.3">
      <c r="A2112" s="194"/>
      <c r="B2112" s="194"/>
      <c r="C2112" s="194"/>
      <c r="D2112" s="194"/>
      <c r="E2112" s="194"/>
      <c r="F2112" s="194"/>
      <c r="G2112" s="194"/>
      <c r="H2112" s="194"/>
      <c r="I2112" s="194"/>
      <c r="J2112" s="194"/>
      <c r="K2112" s="194"/>
      <c r="L2112" s="194"/>
    </row>
    <row r="2113" spans="1:12" x14ac:dyDescent="0.3">
      <c r="A2113" s="194"/>
      <c r="B2113" s="194"/>
      <c r="C2113" s="194"/>
      <c r="D2113" s="194"/>
      <c r="E2113" s="194"/>
      <c r="F2113" s="194"/>
      <c r="G2113" s="194"/>
      <c r="H2113" s="194"/>
      <c r="I2113" s="194"/>
      <c r="J2113" s="194"/>
      <c r="K2113" s="194"/>
      <c r="L2113" s="194"/>
    </row>
    <row r="2114" spans="1:12" x14ac:dyDescent="0.3">
      <c r="A2114" s="194"/>
      <c r="B2114" s="194"/>
      <c r="C2114" s="194"/>
      <c r="D2114" s="194"/>
      <c r="E2114" s="194"/>
      <c r="F2114" s="194"/>
      <c r="G2114" s="194"/>
      <c r="H2114" s="194"/>
      <c r="I2114" s="194"/>
      <c r="J2114" s="194"/>
      <c r="K2114" s="194"/>
      <c r="L2114" s="194"/>
    </row>
    <row r="2115" spans="1:12" x14ac:dyDescent="0.3">
      <c r="A2115" s="194"/>
      <c r="B2115" s="194"/>
      <c r="C2115" s="194"/>
      <c r="D2115" s="194"/>
      <c r="E2115" s="194"/>
      <c r="F2115" s="194"/>
      <c r="G2115" s="194"/>
      <c r="H2115" s="194"/>
      <c r="I2115" s="194"/>
      <c r="J2115" s="194"/>
      <c r="K2115" s="194"/>
      <c r="L2115" s="194"/>
    </row>
    <row r="2116" spans="1:12" x14ac:dyDescent="0.3">
      <c r="A2116" s="194"/>
      <c r="B2116" s="194"/>
      <c r="C2116" s="194"/>
      <c r="D2116" s="194"/>
      <c r="E2116" s="194"/>
      <c r="F2116" s="194"/>
      <c r="G2116" s="194"/>
      <c r="H2116" s="194"/>
      <c r="I2116" s="194"/>
      <c r="J2116" s="194"/>
      <c r="K2116" s="194"/>
      <c r="L2116" s="194"/>
    </row>
    <row r="2117" spans="1:12" x14ac:dyDescent="0.3">
      <c r="A2117" s="194"/>
      <c r="B2117" s="194"/>
      <c r="C2117" s="194"/>
      <c r="D2117" s="194"/>
      <c r="E2117" s="194"/>
      <c r="F2117" s="194"/>
      <c r="G2117" s="194"/>
      <c r="H2117" s="194"/>
      <c r="I2117" s="194"/>
      <c r="J2117" s="194"/>
      <c r="K2117" s="194"/>
      <c r="L2117" s="194"/>
    </row>
    <row r="2118" spans="1:12" x14ac:dyDescent="0.3">
      <c r="A2118" s="194"/>
      <c r="B2118" s="194"/>
      <c r="C2118" s="194"/>
      <c r="D2118" s="194"/>
      <c r="E2118" s="194"/>
      <c r="F2118" s="194"/>
      <c r="G2118" s="194"/>
      <c r="H2118" s="194"/>
      <c r="I2118" s="194"/>
      <c r="J2118" s="194"/>
      <c r="K2118" s="194"/>
      <c r="L2118" s="194"/>
    </row>
    <row r="2119" spans="1:12" x14ac:dyDescent="0.3">
      <c r="A2119" s="194"/>
      <c r="B2119" s="194"/>
      <c r="C2119" s="194"/>
      <c r="D2119" s="194"/>
      <c r="E2119" s="194"/>
      <c r="F2119" s="194"/>
      <c r="G2119" s="194"/>
      <c r="H2119" s="194"/>
      <c r="I2119" s="194"/>
      <c r="J2119" s="194"/>
      <c r="K2119" s="194"/>
      <c r="L2119" s="194"/>
    </row>
    <row r="2120" spans="1:12" x14ac:dyDescent="0.3">
      <c r="A2120" s="194"/>
      <c r="B2120" s="194"/>
      <c r="C2120" s="194"/>
      <c r="D2120" s="194"/>
      <c r="E2120" s="194"/>
      <c r="F2120" s="194"/>
      <c r="G2120" s="194"/>
      <c r="H2120" s="194"/>
      <c r="I2120" s="194"/>
      <c r="J2120" s="194"/>
      <c r="K2120" s="194"/>
      <c r="L2120" s="194"/>
    </row>
    <row r="2121" spans="1:12" x14ac:dyDescent="0.3">
      <c r="A2121" s="194"/>
      <c r="B2121" s="194"/>
      <c r="C2121" s="194"/>
      <c r="D2121" s="194"/>
      <c r="E2121" s="194"/>
      <c r="F2121" s="194"/>
      <c r="G2121" s="194"/>
      <c r="H2121" s="194"/>
      <c r="I2121" s="194"/>
      <c r="J2121" s="194"/>
      <c r="K2121" s="194"/>
      <c r="L2121" s="194"/>
    </row>
    <row r="2122" spans="1:12" x14ac:dyDescent="0.3">
      <c r="A2122" s="194"/>
      <c r="B2122" s="194"/>
      <c r="C2122" s="194"/>
      <c r="D2122" s="194"/>
      <c r="E2122" s="194"/>
      <c r="F2122" s="194"/>
      <c r="G2122" s="194"/>
      <c r="H2122" s="194"/>
      <c r="I2122" s="194"/>
      <c r="J2122" s="194"/>
      <c r="K2122" s="194"/>
      <c r="L2122" s="194"/>
    </row>
    <row r="2123" spans="1:12" x14ac:dyDescent="0.3">
      <c r="A2123" s="194"/>
      <c r="B2123" s="194"/>
      <c r="C2123" s="194"/>
      <c r="D2123" s="194"/>
      <c r="E2123" s="194"/>
      <c r="F2123" s="194"/>
      <c r="G2123" s="194"/>
      <c r="H2123" s="194"/>
      <c r="I2123" s="194"/>
      <c r="J2123" s="194"/>
      <c r="K2123" s="194"/>
      <c r="L2123" s="194"/>
    </row>
    <row r="2124" spans="1:12" x14ac:dyDescent="0.3">
      <c r="A2124" s="194"/>
      <c r="B2124" s="194"/>
      <c r="C2124" s="194"/>
      <c r="D2124" s="194"/>
      <c r="E2124" s="194"/>
      <c r="F2124" s="194"/>
      <c r="G2124" s="194"/>
      <c r="H2124" s="194"/>
      <c r="I2124" s="194"/>
      <c r="J2124" s="194"/>
      <c r="K2124" s="194"/>
      <c r="L2124" s="194"/>
    </row>
    <row r="2125" spans="1:12" x14ac:dyDescent="0.3">
      <c r="A2125" s="194"/>
      <c r="B2125" s="194"/>
      <c r="C2125" s="194"/>
      <c r="D2125" s="194"/>
      <c r="E2125" s="194"/>
      <c r="F2125" s="194"/>
      <c r="G2125" s="194"/>
      <c r="H2125" s="194"/>
      <c r="I2125" s="194"/>
      <c r="J2125" s="194"/>
      <c r="K2125" s="194"/>
      <c r="L2125" s="194"/>
    </row>
    <row r="2126" spans="1:12" x14ac:dyDescent="0.3">
      <c r="A2126" s="194"/>
      <c r="B2126" s="194"/>
      <c r="C2126" s="194"/>
      <c r="D2126" s="194"/>
      <c r="E2126" s="194"/>
      <c r="F2126" s="194"/>
      <c r="G2126" s="194"/>
      <c r="H2126" s="194"/>
      <c r="I2126" s="194"/>
      <c r="J2126" s="194"/>
      <c r="K2126" s="194"/>
      <c r="L2126" s="194"/>
    </row>
    <row r="2127" spans="1:12" x14ac:dyDescent="0.3">
      <c r="A2127" s="194"/>
      <c r="B2127" s="194"/>
      <c r="C2127" s="194"/>
      <c r="D2127" s="194"/>
      <c r="E2127" s="194"/>
      <c r="F2127" s="194"/>
      <c r="G2127" s="194"/>
      <c r="H2127" s="194"/>
      <c r="I2127" s="194"/>
      <c r="J2127" s="194"/>
      <c r="K2127" s="194"/>
      <c r="L2127" s="194"/>
    </row>
    <row r="2128" spans="1:12" x14ac:dyDescent="0.3">
      <c r="A2128" s="194"/>
      <c r="B2128" s="194"/>
      <c r="C2128" s="194"/>
      <c r="D2128" s="194"/>
      <c r="E2128" s="194"/>
      <c r="F2128" s="194"/>
      <c r="G2128" s="194"/>
      <c r="H2128" s="194"/>
      <c r="I2128" s="194"/>
      <c r="J2128" s="194"/>
      <c r="K2128" s="194"/>
      <c r="L2128" s="194"/>
    </row>
    <row r="2129" spans="1:12" x14ac:dyDescent="0.3">
      <c r="A2129" s="194"/>
      <c r="B2129" s="194"/>
      <c r="C2129" s="194"/>
      <c r="D2129" s="194"/>
      <c r="E2129" s="194"/>
      <c r="F2129" s="194"/>
      <c r="G2129" s="194"/>
      <c r="H2129" s="194"/>
      <c r="I2129" s="194"/>
      <c r="J2129" s="194"/>
      <c r="K2129" s="194"/>
      <c r="L2129" s="194"/>
    </row>
    <row r="2130" spans="1:12" x14ac:dyDescent="0.3">
      <c r="A2130" s="194"/>
      <c r="B2130" s="194"/>
      <c r="C2130" s="194"/>
      <c r="D2130" s="194"/>
      <c r="E2130" s="194"/>
      <c r="F2130" s="194"/>
      <c r="G2130" s="194"/>
      <c r="H2130" s="194"/>
      <c r="I2130" s="194"/>
      <c r="J2130" s="194"/>
      <c r="K2130" s="194"/>
      <c r="L2130" s="194"/>
    </row>
    <row r="2131" spans="1:12" x14ac:dyDescent="0.3">
      <c r="A2131" s="194"/>
      <c r="B2131" s="194"/>
      <c r="C2131" s="194"/>
      <c r="D2131" s="194"/>
      <c r="E2131" s="194"/>
      <c r="F2131" s="194"/>
      <c r="G2131" s="194"/>
      <c r="H2131" s="194"/>
      <c r="I2131" s="194"/>
      <c r="J2131" s="194"/>
      <c r="K2131" s="194"/>
      <c r="L2131" s="194"/>
    </row>
    <row r="2132" spans="1:12" x14ac:dyDescent="0.3">
      <c r="A2132" s="194"/>
      <c r="B2132" s="194"/>
      <c r="C2132" s="194"/>
      <c r="D2132" s="194"/>
      <c r="E2132" s="194"/>
      <c r="F2132" s="194"/>
      <c r="G2132" s="194"/>
      <c r="H2132" s="194"/>
      <c r="I2132" s="194"/>
      <c r="J2132" s="194"/>
      <c r="K2132" s="194"/>
      <c r="L2132" s="194"/>
    </row>
    <row r="2133" spans="1:12" x14ac:dyDescent="0.3">
      <c r="A2133" s="194"/>
      <c r="B2133" s="194"/>
      <c r="C2133" s="194"/>
      <c r="D2133" s="194"/>
      <c r="E2133" s="194"/>
      <c r="F2133" s="194"/>
      <c r="G2133" s="194"/>
      <c r="H2133" s="194"/>
      <c r="I2133" s="194"/>
      <c r="J2133" s="194"/>
      <c r="K2133" s="194"/>
      <c r="L2133" s="194"/>
    </row>
    <row r="2134" spans="1:12" x14ac:dyDescent="0.3">
      <c r="A2134" s="194"/>
      <c r="B2134" s="194"/>
      <c r="C2134" s="194"/>
      <c r="D2134" s="194"/>
      <c r="E2134" s="194"/>
      <c r="F2134" s="194"/>
      <c r="G2134" s="194"/>
      <c r="H2134" s="194"/>
      <c r="I2134" s="194"/>
      <c r="J2134" s="194"/>
      <c r="K2134" s="194"/>
      <c r="L2134" s="194"/>
    </row>
    <row r="2135" spans="1:12" x14ac:dyDescent="0.3">
      <c r="A2135" s="194"/>
      <c r="B2135" s="194"/>
      <c r="C2135" s="194"/>
      <c r="D2135" s="194"/>
      <c r="E2135" s="194"/>
      <c r="F2135" s="194"/>
      <c r="G2135" s="194"/>
      <c r="H2135" s="194"/>
      <c r="I2135" s="194"/>
      <c r="J2135" s="194"/>
      <c r="K2135" s="194"/>
      <c r="L2135" s="194"/>
    </row>
    <row r="2136" spans="1:12" x14ac:dyDescent="0.3">
      <c r="A2136" s="194"/>
      <c r="B2136" s="194"/>
      <c r="C2136" s="194"/>
      <c r="D2136" s="194"/>
      <c r="E2136" s="194"/>
      <c r="F2136" s="194"/>
      <c r="G2136" s="194"/>
      <c r="H2136" s="194"/>
      <c r="I2136" s="194"/>
      <c r="J2136" s="194"/>
      <c r="K2136" s="194"/>
      <c r="L2136" s="194"/>
    </row>
    <row r="2137" spans="1:12" x14ac:dyDescent="0.3">
      <c r="A2137" s="194"/>
      <c r="B2137" s="194"/>
      <c r="C2137" s="194"/>
      <c r="D2137" s="194"/>
      <c r="E2137" s="194"/>
      <c r="F2137" s="194"/>
      <c r="G2137" s="194"/>
      <c r="H2137" s="194"/>
      <c r="I2137" s="194"/>
      <c r="J2137" s="194"/>
      <c r="K2137" s="194"/>
      <c r="L2137" s="194"/>
    </row>
    <row r="2138" spans="1:12" x14ac:dyDescent="0.3">
      <c r="A2138" s="194"/>
      <c r="B2138" s="194"/>
      <c r="C2138" s="194"/>
      <c r="D2138" s="194"/>
      <c r="E2138" s="194"/>
      <c r="F2138" s="194"/>
      <c r="G2138" s="194"/>
      <c r="H2138" s="194"/>
      <c r="I2138" s="194"/>
      <c r="J2138" s="194"/>
      <c r="K2138" s="194"/>
      <c r="L2138" s="194"/>
    </row>
    <row r="2139" spans="1:12" x14ac:dyDescent="0.3">
      <c r="A2139" s="194"/>
      <c r="B2139" s="194"/>
      <c r="C2139" s="194"/>
      <c r="D2139" s="194"/>
      <c r="E2139" s="194"/>
      <c r="F2139" s="194"/>
      <c r="G2139" s="194"/>
      <c r="H2139" s="194"/>
      <c r="I2139" s="194"/>
      <c r="J2139" s="194"/>
      <c r="K2139" s="194"/>
      <c r="L2139" s="194"/>
    </row>
    <row r="2140" spans="1:12" x14ac:dyDescent="0.3">
      <c r="A2140" s="194"/>
      <c r="B2140" s="194"/>
      <c r="C2140" s="194"/>
      <c r="D2140" s="194"/>
      <c r="E2140" s="194"/>
      <c r="F2140" s="194"/>
      <c r="G2140" s="194"/>
      <c r="H2140" s="194"/>
      <c r="I2140" s="194"/>
      <c r="J2140" s="194"/>
      <c r="K2140" s="194"/>
      <c r="L2140" s="194"/>
    </row>
    <row r="2141" spans="1:12" x14ac:dyDescent="0.3">
      <c r="A2141" s="194"/>
      <c r="B2141" s="194"/>
      <c r="C2141" s="194"/>
      <c r="D2141" s="194"/>
      <c r="E2141" s="194"/>
      <c r="F2141" s="194"/>
      <c r="G2141" s="194"/>
      <c r="H2141" s="194"/>
      <c r="I2141" s="194"/>
      <c r="J2141" s="194"/>
      <c r="K2141" s="194"/>
      <c r="L2141" s="194"/>
    </row>
    <row r="2142" spans="1:12" x14ac:dyDescent="0.3">
      <c r="A2142" s="194"/>
      <c r="B2142" s="194"/>
      <c r="C2142" s="194"/>
      <c r="D2142" s="194"/>
      <c r="E2142" s="194"/>
      <c r="F2142" s="194"/>
      <c r="G2142" s="194"/>
      <c r="H2142" s="194"/>
      <c r="I2142" s="194"/>
      <c r="J2142" s="194"/>
      <c r="K2142" s="194"/>
      <c r="L2142" s="194"/>
    </row>
    <row r="2143" spans="1:12" x14ac:dyDescent="0.3">
      <c r="A2143" s="194"/>
      <c r="B2143" s="194"/>
      <c r="C2143" s="194"/>
      <c r="D2143" s="194"/>
      <c r="E2143" s="194"/>
      <c r="F2143" s="194"/>
      <c r="G2143" s="194"/>
      <c r="H2143" s="194"/>
      <c r="I2143" s="194"/>
      <c r="J2143" s="194"/>
      <c r="K2143" s="194"/>
      <c r="L2143" s="194"/>
    </row>
    <row r="2144" spans="1:12" x14ac:dyDescent="0.3">
      <c r="A2144" s="194"/>
      <c r="B2144" s="194"/>
      <c r="C2144" s="194"/>
      <c r="D2144" s="194"/>
      <c r="E2144" s="194"/>
      <c r="F2144" s="194"/>
      <c r="G2144" s="194"/>
      <c r="H2144" s="194"/>
      <c r="I2144" s="194"/>
      <c r="J2144" s="194"/>
      <c r="K2144" s="194"/>
      <c r="L2144" s="194"/>
    </row>
    <row r="2145" spans="1:12" x14ac:dyDescent="0.3">
      <c r="A2145" s="194"/>
      <c r="B2145" s="194"/>
      <c r="C2145" s="194"/>
      <c r="D2145" s="194"/>
      <c r="E2145" s="194"/>
      <c r="F2145" s="194"/>
      <c r="G2145" s="194"/>
      <c r="H2145" s="194"/>
      <c r="I2145" s="194"/>
      <c r="J2145" s="194"/>
      <c r="K2145" s="194"/>
      <c r="L2145" s="194"/>
    </row>
    <row r="2146" spans="1:12" x14ac:dyDescent="0.3">
      <c r="A2146" s="194"/>
      <c r="B2146" s="194"/>
      <c r="C2146" s="194"/>
      <c r="D2146" s="194"/>
      <c r="E2146" s="194"/>
      <c r="F2146" s="194"/>
      <c r="G2146" s="194"/>
      <c r="H2146" s="194"/>
      <c r="I2146" s="194"/>
      <c r="J2146" s="194"/>
      <c r="K2146" s="194"/>
      <c r="L2146" s="194"/>
    </row>
    <row r="2147" spans="1:12" x14ac:dyDescent="0.3">
      <c r="A2147" s="194"/>
      <c r="B2147" s="194"/>
      <c r="C2147" s="194"/>
      <c r="D2147" s="194"/>
      <c r="E2147" s="194"/>
      <c r="F2147" s="194"/>
      <c r="G2147" s="194"/>
      <c r="H2147" s="194"/>
      <c r="I2147" s="194"/>
      <c r="J2147" s="194"/>
      <c r="K2147" s="194"/>
      <c r="L2147" s="194"/>
    </row>
    <row r="2148" spans="1:12" x14ac:dyDescent="0.3">
      <c r="A2148" s="194"/>
      <c r="B2148" s="194"/>
      <c r="C2148" s="194"/>
      <c r="D2148" s="194"/>
      <c r="E2148" s="194"/>
      <c r="F2148" s="194"/>
      <c r="G2148" s="194"/>
      <c r="H2148" s="194"/>
      <c r="I2148" s="194"/>
      <c r="J2148" s="194"/>
      <c r="K2148" s="194"/>
      <c r="L2148" s="194"/>
    </row>
    <row r="2149" spans="1:12" x14ac:dyDescent="0.3">
      <c r="A2149" s="194"/>
      <c r="B2149" s="194"/>
      <c r="C2149" s="194"/>
      <c r="D2149" s="194"/>
      <c r="E2149" s="194"/>
      <c r="F2149" s="194"/>
      <c r="G2149" s="194"/>
      <c r="H2149" s="194"/>
      <c r="I2149" s="194"/>
      <c r="J2149" s="194"/>
      <c r="K2149" s="194"/>
      <c r="L2149" s="194"/>
    </row>
    <row r="2150" spans="1:12" x14ac:dyDescent="0.3">
      <c r="A2150" s="194"/>
      <c r="B2150" s="194"/>
      <c r="C2150" s="194"/>
      <c r="D2150" s="194"/>
      <c r="E2150" s="194"/>
      <c r="F2150" s="194"/>
      <c r="G2150" s="194"/>
      <c r="H2150" s="194"/>
      <c r="I2150" s="194"/>
      <c r="J2150" s="194"/>
      <c r="K2150" s="194"/>
      <c r="L2150" s="194"/>
    </row>
    <row r="2151" spans="1:12" x14ac:dyDescent="0.3">
      <c r="A2151" s="194"/>
      <c r="B2151" s="194"/>
      <c r="C2151" s="194"/>
      <c r="D2151" s="194"/>
      <c r="E2151" s="194"/>
      <c r="F2151" s="194"/>
      <c r="G2151" s="194"/>
      <c r="H2151" s="194"/>
      <c r="I2151" s="194"/>
      <c r="J2151" s="194"/>
      <c r="K2151" s="194"/>
      <c r="L2151" s="194"/>
    </row>
    <row r="2152" spans="1:12" x14ac:dyDescent="0.3">
      <c r="A2152" s="194"/>
      <c r="B2152" s="194"/>
      <c r="C2152" s="194"/>
      <c r="D2152" s="194"/>
      <c r="E2152" s="194"/>
      <c r="F2152" s="194"/>
      <c r="G2152" s="194"/>
      <c r="H2152" s="194"/>
      <c r="I2152" s="194"/>
      <c r="J2152" s="194"/>
      <c r="K2152" s="194"/>
      <c r="L2152" s="194"/>
    </row>
    <row r="2153" spans="1:12" x14ac:dyDescent="0.3">
      <c r="A2153" s="194"/>
      <c r="B2153" s="194"/>
      <c r="C2153" s="194"/>
      <c r="D2153" s="194"/>
      <c r="E2153" s="194"/>
      <c r="F2153" s="194"/>
      <c r="G2153" s="194"/>
      <c r="H2153" s="194"/>
      <c r="I2153" s="194"/>
      <c r="J2153" s="194"/>
      <c r="K2153" s="194"/>
      <c r="L2153" s="194"/>
    </row>
    <row r="2154" spans="1:12" x14ac:dyDescent="0.3">
      <c r="A2154" s="194"/>
      <c r="B2154" s="194"/>
      <c r="C2154" s="194"/>
      <c r="D2154" s="194"/>
      <c r="E2154" s="194"/>
      <c r="F2154" s="194"/>
      <c r="G2154" s="194"/>
      <c r="H2154" s="194"/>
      <c r="I2154" s="194"/>
      <c r="J2154" s="194"/>
      <c r="K2154" s="194"/>
      <c r="L2154" s="194"/>
    </row>
    <row r="2155" spans="1:12" x14ac:dyDescent="0.3">
      <c r="A2155" s="194"/>
      <c r="B2155" s="194"/>
      <c r="C2155" s="194"/>
      <c r="D2155" s="194"/>
      <c r="E2155" s="194"/>
      <c r="F2155" s="194"/>
      <c r="G2155" s="194"/>
      <c r="H2155" s="194"/>
      <c r="I2155" s="194"/>
      <c r="J2155" s="194"/>
      <c r="K2155" s="194"/>
      <c r="L2155" s="194"/>
    </row>
    <row r="2156" spans="1:12" x14ac:dyDescent="0.3">
      <c r="A2156" s="194"/>
      <c r="B2156" s="194"/>
      <c r="C2156" s="194"/>
      <c r="D2156" s="194"/>
      <c r="E2156" s="194"/>
      <c r="F2156" s="194"/>
      <c r="G2156" s="194"/>
      <c r="H2156" s="194"/>
      <c r="I2156" s="194"/>
      <c r="J2156" s="194"/>
      <c r="K2156" s="194"/>
      <c r="L2156" s="194"/>
    </row>
    <row r="2157" spans="1:12" x14ac:dyDescent="0.3">
      <c r="A2157" s="194"/>
      <c r="B2157" s="194"/>
      <c r="C2157" s="194"/>
      <c r="D2157" s="194"/>
      <c r="E2157" s="194"/>
      <c r="F2157" s="194"/>
      <c r="G2157" s="194"/>
      <c r="H2157" s="194"/>
      <c r="I2157" s="194"/>
      <c r="J2157" s="194"/>
      <c r="K2157" s="194"/>
      <c r="L2157" s="194"/>
    </row>
    <row r="2158" spans="1:12" x14ac:dyDescent="0.3">
      <c r="A2158" s="194"/>
      <c r="B2158" s="194"/>
      <c r="C2158" s="194"/>
      <c r="D2158" s="194"/>
      <c r="E2158" s="194"/>
      <c r="F2158" s="194"/>
      <c r="G2158" s="194"/>
      <c r="H2158" s="194"/>
      <c r="I2158" s="194"/>
      <c r="J2158" s="194"/>
      <c r="K2158" s="194"/>
      <c r="L2158" s="194"/>
    </row>
    <row r="2159" spans="1:12" x14ac:dyDescent="0.3">
      <c r="A2159" s="194"/>
      <c r="B2159" s="194"/>
      <c r="C2159" s="194"/>
      <c r="D2159" s="194"/>
      <c r="E2159" s="194"/>
      <c r="F2159" s="194"/>
      <c r="G2159" s="194"/>
      <c r="H2159" s="194"/>
      <c r="I2159" s="194"/>
      <c r="J2159" s="194"/>
      <c r="K2159" s="194"/>
      <c r="L2159" s="194"/>
    </row>
    <row r="2160" spans="1:12" x14ac:dyDescent="0.3">
      <c r="A2160" s="194"/>
      <c r="B2160" s="194"/>
      <c r="C2160" s="194"/>
      <c r="D2160" s="194"/>
      <c r="E2160" s="194"/>
      <c r="F2160" s="194"/>
      <c r="G2160" s="194"/>
      <c r="H2160" s="194"/>
      <c r="I2160" s="194"/>
      <c r="J2160" s="194"/>
      <c r="K2160" s="194"/>
      <c r="L2160" s="194"/>
    </row>
    <row r="2161" spans="1:12" x14ac:dyDescent="0.3">
      <c r="A2161" s="194"/>
      <c r="B2161" s="194"/>
      <c r="C2161" s="194"/>
      <c r="D2161" s="194"/>
      <c r="E2161" s="194"/>
      <c r="F2161" s="194"/>
      <c r="G2161" s="194"/>
      <c r="H2161" s="194"/>
      <c r="I2161" s="194"/>
      <c r="J2161" s="194"/>
      <c r="K2161" s="194"/>
      <c r="L2161" s="194"/>
    </row>
    <row r="2162" spans="1:12" x14ac:dyDescent="0.3">
      <c r="A2162" s="194"/>
      <c r="B2162" s="194"/>
      <c r="C2162" s="194"/>
      <c r="D2162" s="194"/>
      <c r="E2162" s="194"/>
      <c r="F2162" s="194"/>
      <c r="G2162" s="194"/>
      <c r="H2162" s="194"/>
      <c r="I2162" s="194"/>
      <c r="J2162" s="194"/>
      <c r="K2162" s="194"/>
      <c r="L2162" s="194"/>
    </row>
    <row r="2163" spans="1:12" x14ac:dyDescent="0.3">
      <c r="A2163" s="194"/>
      <c r="B2163" s="194"/>
      <c r="C2163" s="194"/>
      <c r="D2163" s="194"/>
      <c r="E2163" s="194"/>
      <c r="F2163" s="194"/>
      <c r="G2163" s="194"/>
      <c r="H2163" s="194"/>
      <c r="I2163" s="194"/>
      <c r="J2163" s="194"/>
      <c r="K2163" s="194"/>
      <c r="L2163" s="194"/>
    </row>
    <row r="2164" spans="1:12" x14ac:dyDescent="0.3">
      <c r="A2164" s="194"/>
      <c r="B2164" s="194"/>
      <c r="C2164" s="194"/>
      <c r="D2164" s="194"/>
      <c r="E2164" s="194"/>
      <c r="F2164" s="194"/>
      <c r="G2164" s="194"/>
      <c r="H2164" s="194"/>
      <c r="I2164" s="194"/>
      <c r="J2164" s="194"/>
      <c r="K2164" s="194"/>
      <c r="L2164" s="194"/>
    </row>
    <row r="2165" spans="1:12" x14ac:dyDescent="0.3">
      <c r="A2165" s="194"/>
      <c r="B2165" s="194"/>
      <c r="C2165" s="194"/>
      <c r="D2165" s="194"/>
      <c r="E2165" s="194"/>
      <c r="F2165" s="194"/>
      <c r="G2165" s="194"/>
      <c r="H2165" s="194"/>
      <c r="I2165" s="194"/>
      <c r="J2165" s="194"/>
      <c r="K2165" s="194"/>
      <c r="L2165" s="194"/>
    </row>
    <row r="2166" spans="1:12" x14ac:dyDescent="0.3">
      <c r="A2166" s="194"/>
      <c r="B2166" s="194"/>
      <c r="C2166" s="194"/>
      <c r="D2166" s="194"/>
      <c r="E2166" s="194"/>
      <c r="F2166" s="194"/>
      <c r="G2166" s="194"/>
      <c r="H2166" s="194"/>
      <c r="I2166" s="194"/>
      <c r="J2166" s="194"/>
      <c r="K2166" s="194"/>
      <c r="L2166" s="194"/>
    </row>
    <row r="2167" spans="1:12" x14ac:dyDescent="0.3">
      <c r="A2167" s="194"/>
      <c r="B2167" s="194"/>
      <c r="C2167" s="194"/>
      <c r="D2167" s="194"/>
      <c r="E2167" s="194"/>
      <c r="F2167" s="194"/>
      <c r="G2167" s="194"/>
      <c r="H2167" s="194"/>
      <c r="I2167" s="194"/>
      <c r="J2167" s="194"/>
      <c r="K2167" s="194"/>
      <c r="L2167" s="194"/>
    </row>
    <row r="2168" spans="1:12" x14ac:dyDescent="0.3">
      <c r="A2168" s="194"/>
      <c r="B2168" s="194"/>
      <c r="C2168" s="194"/>
      <c r="D2168" s="194"/>
      <c r="E2168" s="194"/>
      <c r="F2168" s="194"/>
      <c r="G2168" s="194"/>
      <c r="H2168" s="194"/>
      <c r="I2168" s="194"/>
      <c r="J2168" s="194"/>
      <c r="K2168" s="194"/>
      <c r="L2168" s="194"/>
    </row>
    <row r="2169" spans="1:12" x14ac:dyDescent="0.3">
      <c r="A2169" s="194"/>
      <c r="B2169" s="194"/>
      <c r="C2169" s="194"/>
      <c r="D2169" s="194"/>
      <c r="E2169" s="194"/>
      <c r="F2169" s="194"/>
      <c r="G2169" s="194"/>
      <c r="H2169" s="194"/>
      <c r="I2169" s="194"/>
      <c r="J2169" s="194"/>
      <c r="K2169" s="194"/>
      <c r="L2169" s="194"/>
    </row>
    <row r="2170" spans="1:12" x14ac:dyDescent="0.3">
      <c r="A2170" s="194"/>
      <c r="B2170" s="194"/>
      <c r="C2170" s="194"/>
      <c r="D2170" s="194"/>
      <c r="E2170" s="194"/>
      <c r="F2170" s="194"/>
      <c r="G2170" s="194"/>
      <c r="H2170" s="194"/>
      <c r="I2170" s="194"/>
      <c r="J2170" s="194"/>
      <c r="K2170" s="194"/>
      <c r="L2170" s="194"/>
    </row>
    <row r="2171" spans="1:12" x14ac:dyDescent="0.3">
      <c r="A2171" s="194"/>
      <c r="B2171" s="194"/>
      <c r="C2171" s="194"/>
      <c r="D2171" s="194"/>
      <c r="E2171" s="194"/>
      <c r="F2171" s="194"/>
      <c r="G2171" s="194"/>
      <c r="H2171" s="194"/>
      <c r="I2171" s="194"/>
      <c r="J2171" s="194"/>
      <c r="K2171" s="194"/>
      <c r="L2171" s="194"/>
    </row>
    <row r="2172" spans="1:12" x14ac:dyDescent="0.3">
      <c r="A2172" s="194"/>
      <c r="B2172" s="194"/>
      <c r="C2172" s="194"/>
      <c r="D2172" s="194"/>
      <c r="E2172" s="194"/>
      <c r="F2172" s="194"/>
      <c r="G2172" s="194"/>
      <c r="H2172" s="194"/>
      <c r="I2172" s="194"/>
      <c r="J2172" s="194"/>
      <c r="K2172" s="194"/>
      <c r="L2172" s="194"/>
    </row>
    <row r="2173" spans="1:12" x14ac:dyDescent="0.3">
      <c r="A2173" s="194"/>
      <c r="B2173" s="194"/>
      <c r="C2173" s="194"/>
      <c r="D2173" s="194"/>
      <c r="E2173" s="194"/>
      <c r="F2173" s="194"/>
      <c r="G2173" s="194"/>
      <c r="H2173" s="194"/>
      <c r="I2173" s="194"/>
      <c r="J2173" s="194"/>
      <c r="K2173" s="194"/>
      <c r="L2173" s="194"/>
    </row>
    <row r="2174" spans="1:12" x14ac:dyDescent="0.3">
      <c r="A2174" s="194"/>
      <c r="B2174" s="194"/>
      <c r="C2174" s="194"/>
      <c r="D2174" s="194"/>
      <c r="E2174" s="194"/>
      <c r="F2174" s="194"/>
      <c r="G2174" s="194"/>
      <c r="H2174" s="194"/>
      <c r="I2174" s="194"/>
      <c r="J2174" s="194"/>
      <c r="K2174" s="194"/>
      <c r="L2174" s="194"/>
    </row>
    <row r="2175" spans="1:12" x14ac:dyDescent="0.3">
      <c r="A2175" s="194"/>
      <c r="B2175" s="194"/>
      <c r="C2175" s="194"/>
      <c r="D2175" s="194"/>
      <c r="E2175" s="194"/>
      <c r="F2175" s="194"/>
      <c r="G2175" s="194"/>
      <c r="H2175" s="194"/>
      <c r="I2175" s="194"/>
      <c r="J2175" s="194"/>
      <c r="K2175" s="194"/>
      <c r="L2175" s="194"/>
    </row>
    <row r="2176" spans="1:12" x14ac:dyDescent="0.3">
      <c r="A2176" s="194"/>
      <c r="B2176" s="194"/>
      <c r="C2176" s="194"/>
      <c r="D2176" s="194"/>
      <c r="E2176" s="194"/>
      <c r="F2176" s="194"/>
      <c r="G2176" s="194"/>
      <c r="H2176" s="194"/>
      <c r="I2176" s="194"/>
      <c r="J2176" s="194"/>
      <c r="K2176" s="194"/>
      <c r="L2176" s="194"/>
    </row>
    <row r="2177" spans="1:12" x14ac:dyDescent="0.3">
      <c r="A2177" s="194"/>
      <c r="B2177" s="194"/>
      <c r="C2177" s="194"/>
      <c r="D2177" s="194"/>
      <c r="E2177" s="194"/>
      <c r="F2177" s="194"/>
      <c r="G2177" s="194"/>
      <c r="H2177" s="194"/>
      <c r="I2177" s="194"/>
      <c r="J2177" s="194"/>
      <c r="K2177" s="194"/>
      <c r="L2177" s="194"/>
    </row>
    <row r="2178" spans="1:12" x14ac:dyDescent="0.3">
      <c r="A2178" s="194"/>
      <c r="B2178" s="194"/>
      <c r="C2178" s="194"/>
      <c r="D2178" s="194"/>
      <c r="E2178" s="194"/>
      <c r="F2178" s="194"/>
      <c r="G2178" s="194"/>
      <c r="H2178" s="194"/>
      <c r="I2178" s="194"/>
      <c r="J2178" s="194"/>
      <c r="K2178" s="194"/>
      <c r="L2178" s="194"/>
    </row>
    <row r="2179" spans="1:12" x14ac:dyDescent="0.3">
      <c r="A2179" s="194"/>
      <c r="B2179" s="194"/>
      <c r="C2179" s="194"/>
      <c r="D2179" s="194"/>
      <c r="E2179" s="194"/>
      <c r="F2179" s="194"/>
      <c r="G2179" s="194"/>
      <c r="H2179" s="194"/>
      <c r="I2179" s="194"/>
      <c r="J2179" s="194"/>
      <c r="K2179" s="194"/>
      <c r="L2179" s="194"/>
    </row>
    <row r="2180" spans="1:12" x14ac:dyDescent="0.3">
      <c r="A2180" s="194"/>
      <c r="B2180" s="194"/>
      <c r="C2180" s="194"/>
      <c r="D2180" s="194"/>
      <c r="E2180" s="194"/>
      <c r="F2180" s="194"/>
      <c r="G2180" s="194"/>
      <c r="H2180" s="194"/>
      <c r="I2180" s="194"/>
      <c r="J2180" s="194"/>
      <c r="K2180" s="194"/>
      <c r="L2180" s="194"/>
    </row>
    <row r="2181" spans="1:12" x14ac:dyDescent="0.3">
      <c r="A2181" s="194"/>
      <c r="B2181" s="194"/>
      <c r="C2181" s="194"/>
      <c r="D2181" s="194"/>
      <c r="E2181" s="194"/>
      <c r="F2181" s="194"/>
      <c r="G2181" s="194"/>
      <c r="H2181" s="194"/>
      <c r="I2181" s="194"/>
      <c r="J2181" s="194"/>
      <c r="K2181" s="194"/>
      <c r="L2181" s="194"/>
    </row>
    <row r="2182" spans="1:12" x14ac:dyDescent="0.3">
      <c r="A2182" s="194"/>
      <c r="B2182" s="194"/>
      <c r="C2182" s="194"/>
      <c r="D2182" s="194"/>
      <c r="E2182" s="194"/>
      <c r="F2182" s="194"/>
      <c r="G2182" s="194"/>
      <c r="H2182" s="194"/>
      <c r="I2182" s="194"/>
      <c r="J2182" s="194"/>
      <c r="K2182" s="194"/>
      <c r="L2182" s="194"/>
    </row>
    <row r="2183" spans="1:12" x14ac:dyDescent="0.3">
      <c r="A2183" s="194"/>
      <c r="B2183" s="194"/>
      <c r="C2183" s="194"/>
      <c r="D2183" s="194"/>
      <c r="E2183" s="194"/>
      <c r="F2183" s="194"/>
      <c r="G2183" s="194"/>
      <c r="H2183" s="194"/>
      <c r="I2183" s="194"/>
      <c r="J2183" s="194"/>
      <c r="K2183" s="194"/>
      <c r="L2183" s="194"/>
    </row>
    <row r="2184" spans="1:12" x14ac:dyDescent="0.3">
      <c r="A2184" s="194"/>
      <c r="B2184" s="194"/>
      <c r="C2184" s="194"/>
      <c r="D2184" s="194"/>
      <c r="E2184" s="194"/>
      <c r="F2184" s="194"/>
      <c r="G2184" s="194"/>
      <c r="H2184" s="194"/>
      <c r="I2184" s="194"/>
      <c r="J2184" s="194"/>
      <c r="K2184" s="194"/>
      <c r="L2184" s="194"/>
    </row>
    <row r="2185" spans="1:12" x14ac:dyDescent="0.3">
      <c r="A2185" s="194"/>
      <c r="B2185" s="194"/>
      <c r="C2185" s="194"/>
      <c r="D2185" s="194"/>
      <c r="E2185" s="194"/>
      <c r="F2185" s="194"/>
      <c r="G2185" s="194"/>
      <c r="H2185" s="194"/>
      <c r="I2185" s="194"/>
      <c r="J2185" s="194"/>
      <c r="K2185" s="194"/>
      <c r="L2185" s="194"/>
    </row>
    <row r="2186" spans="1:12" x14ac:dyDescent="0.3">
      <c r="A2186" s="194"/>
      <c r="B2186" s="194"/>
      <c r="C2186" s="194"/>
      <c r="D2186" s="194"/>
      <c r="E2186" s="194"/>
      <c r="F2186" s="194"/>
      <c r="G2186" s="194"/>
      <c r="H2186" s="194"/>
      <c r="I2186" s="194"/>
      <c r="J2186" s="194"/>
      <c r="K2186" s="194"/>
      <c r="L2186" s="194"/>
    </row>
    <row r="2187" spans="1:12" x14ac:dyDescent="0.3">
      <c r="A2187" s="194"/>
      <c r="B2187" s="194"/>
      <c r="C2187" s="194"/>
      <c r="D2187" s="194"/>
      <c r="E2187" s="194"/>
      <c r="F2187" s="194"/>
      <c r="G2187" s="194"/>
      <c r="H2187" s="194"/>
      <c r="I2187" s="194"/>
      <c r="J2187" s="194"/>
      <c r="K2187" s="194"/>
      <c r="L2187" s="194"/>
    </row>
    <row r="2188" spans="1:12" x14ac:dyDescent="0.3">
      <c r="A2188" s="194"/>
      <c r="B2188" s="194"/>
      <c r="C2188" s="194"/>
      <c r="D2188" s="194"/>
      <c r="E2188" s="194"/>
      <c r="F2188" s="194"/>
      <c r="G2188" s="194"/>
      <c r="H2188" s="194"/>
      <c r="I2188" s="194"/>
      <c r="J2188" s="194"/>
      <c r="K2188" s="194"/>
      <c r="L2188" s="194"/>
    </row>
    <row r="2189" spans="1:12" x14ac:dyDescent="0.3">
      <c r="A2189" s="194"/>
      <c r="B2189" s="194"/>
      <c r="C2189" s="194"/>
      <c r="D2189" s="194"/>
      <c r="E2189" s="194"/>
      <c r="F2189" s="194"/>
      <c r="G2189" s="194"/>
      <c r="H2189" s="194"/>
      <c r="I2189" s="194"/>
      <c r="J2189" s="194"/>
      <c r="K2189" s="194"/>
      <c r="L2189" s="194"/>
    </row>
    <row r="2190" spans="1:12" x14ac:dyDescent="0.3">
      <c r="A2190" s="194"/>
      <c r="B2190" s="194"/>
      <c r="C2190" s="194"/>
      <c r="D2190" s="194"/>
      <c r="E2190" s="194"/>
      <c r="F2190" s="194"/>
      <c r="G2190" s="194"/>
      <c r="H2190" s="194"/>
      <c r="I2190" s="194"/>
      <c r="J2190" s="194"/>
      <c r="K2190" s="194"/>
      <c r="L2190" s="194"/>
    </row>
    <row r="2191" spans="1:12" x14ac:dyDescent="0.3">
      <c r="A2191" s="194"/>
      <c r="B2191" s="194"/>
      <c r="C2191" s="194"/>
      <c r="D2191" s="194"/>
      <c r="E2191" s="194"/>
      <c r="F2191" s="194"/>
      <c r="G2191" s="194"/>
      <c r="H2191" s="194"/>
      <c r="I2191" s="194"/>
      <c r="J2191" s="194"/>
      <c r="K2191" s="194"/>
      <c r="L2191" s="194"/>
    </row>
    <row r="2192" spans="1:12" x14ac:dyDescent="0.3">
      <c r="A2192" s="194"/>
      <c r="B2192" s="194"/>
      <c r="C2192" s="194"/>
      <c r="D2192" s="194"/>
      <c r="E2192" s="194"/>
      <c r="F2192" s="194"/>
      <c r="G2192" s="194"/>
      <c r="H2192" s="194"/>
      <c r="I2192" s="194"/>
      <c r="J2192" s="194"/>
      <c r="K2192" s="194"/>
      <c r="L2192" s="194"/>
    </row>
    <row r="2193" spans="1:12" x14ac:dyDescent="0.3">
      <c r="A2193" s="194"/>
      <c r="B2193" s="194"/>
      <c r="C2193" s="194"/>
      <c r="D2193" s="194"/>
      <c r="E2193" s="194"/>
      <c r="F2193" s="194"/>
      <c r="G2193" s="194"/>
      <c r="H2193" s="194"/>
      <c r="I2193" s="194"/>
      <c r="J2193" s="194"/>
      <c r="K2193" s="194"/>
      <c r="L2193" s="194"/>
    </row>
    <row r="2194" spans="1:12" x14ac:dyDescent="0.3">
      <c r="A2194" s="194"/>
      <c r="B2194" s="194"/>
      <c r="C2194" s="194"/>
      <c r="D2194" s="194"/>
      <c r="E2194" s="194"/>
      <c r="F2194" s="194"/>
      <c r="G2194" s="194"/>
      <c r="H2194" s="194"/>
      <c r="I2194" s="194"/>
      <c r="J2194" s="194"/>
      <c r="K2194" s="194"/>
      <c r="L2194" s="194"/>
    </row>
    <row r="2195" spans="1:12" x14ac:dyDescent="0.3">
      <c r="A2195" s="194"/>
      <c r="B2195" s="194"/>
      <c r="C2195" s="194"/>
      <c r="D2195" s="194"/>
      <c r="E2195" s="194"/>
      <c r="F2195" s="194"/>
      <c r="G2195" s="194"/>
      <c r="H2195" s="194"/>
      <c r="I2195" s="194"/>
      <c r="J2195" s="194"/>
      <c r="K2195" s="194"/>
      <c r="L2195" s="194"/>
    </row>
    <row r="2196" spans="1:12" x14ac:dyDescent="0.3">
      <c r="A2196" s="194"/>
      <c r="B2196" s="194"/>
      <c r="C2196" s="194"/>
      <c r="D2196" s="194"/>
      <c r="E2196" s="194"/>
      <c r="F2196" s="194"/>
      <c r="G2196" s="194"/>
      <c r="H2196" s="194"/>
      <c r="I2196" s="194"/>
      <c r="J2196" s="194"/>
      <c r="K2196" s="194"/>
      <c r="L2196" s="194"/>
    </row>
    <row r="2197" spans="1:12" x14ac:dyDescent="0.3">
      <c r="A2197" s="194"/>
      <c r="B2197" s="194"/>
      <c r="C2197" s="194"/>
      <c r="D2197" s="194"/>
      <c r="E2197" s="194"/>
      <c r="F2197" s="194"/>
      <c r="G2197" s="194"/>
      <c r="H2197" s="194"/>
      <c r="I2197" s="194"/>
      <c r="J2197" s="194"/>
      <c r="K2197" s="194"/>
      <c r="L2197" s="194"/>
    </row>
    <row r="2198" spans="1:12" x14ac:dyDescent="0.3">
      <c r="A2198" s="194"/>
      <c r="B2198" s="194"/>
      <c r="C2198" s="194"/>
      <c r="D2198" s="194"/>
      <c r="E2198" s="194"/>
      <c r="F2198" s="194"/>
      <c r="G2198" s="194"/>
      <c r="H2198" s="194"/>
      <c r="I2198" s="194"/>
      <c r="J2198" s="194"/>
      <c r="K2198" s="194"/>
      <c r="L2198" s="194"/>
    </row>
    <row r="2199" spans="1:12" x14ac:dyDescent="0.3">
      <c r="A2199" s="194"/>
      <c r="B2199" s="194"/>
      <c r="C2199" s="194"/>
      <c r="D2199" s="194"/>
      <c r="E2199" s="194"/>
      <c r="F2199" s="194"/>
      <c r="G2199" s="194"/>
      <c r="H2199" s="194"/>
      <c r="I2199" s="194"/>
      <c r="J2199" s="194"/>
      <c r="K2199" s="194"/>
      <c r="L2199" s="194"/>
    </row>
    <row r="2200" spans="1:12" x14ac:dyDescent="0.3">
      <c r="A2200" s="194"/>
      <c r="B2200" s="194"/>
      <c r="C2200" s="194"/>
      <c r="D2200" s="194"/>
      <c r="E2200" s="194"/>
      <c r="F2200" s="194"/>
      <c r="G2200" s="194"/>
      <c r="H2200" s="194"/>
      <c r="I2200" s="194"/>
      <c r="J2200" s="194"/>
      <c r="K2200" s="194"/>
      <c r="L2200" s="194"/>
    </row>
    <row r="2201" spans="1:12" x14ac:dyDescent="0.3">
      <c r="A2201" s="194"/>
      <c r="B2201" s="194"/>
      <c r="C2201" s="194"/>
      <c r="D2201" s="194"/>
      <c r="E2201" s="194"/>
      <c r="F2201" s="194"/>
      <c r="G2201" s="194"/>
      <c r="H2201" s="194"/>
      <c r="I2201" s="194"/>
      <c r="J2201" s="194"/>
      <c r="K2201" s="194"/>
      <c r="L2201" s="194"/>
    </row>
    <row r="2202" spans="1:12" x14ac:dyDescent="0.3">
      <c r="A2202" s="194"/>
      <c r="B2202" s="194"/>
      <c r="C2202" s="194"/>
      <c r="D2202" s="194"/>
      <c r="E2202" s="194"/>
      <c r="F2202" s="194"/>
      <c r="G2202" s="194"/>
      <c r="H2202" s="194"/>
      <c r="I2202" s="194"/>
      <c r="J2202" s="194"/>
      <c r="K2202" s="194"/>
      <c r="L2202" s="194"/>
    </row>
    <row r="2203" spans="1:12" x14ac:dyDescent="0.3">
      <c r="A2203" s="194"/>
      <c r="B2203" s="194"/>
      <c r="C2203" s="194"/>
      <c r="D2203" s="194"/>
      <c r="E2203" s="194"/>
      <c r="F2203" s="194"/>
      <c r="G2203" s="194"/>
      <c r="H2203" s="194"/>
      <c r="I2203" s="194"/>
      <c r="J2203" s="194"/>
      <c r="K2203" s="194"/>
      <c r="L2203" s="194"/>
    </row>
    <row r="2204" spans="1:12" x14ac:dyDescent="0.3">
      <c r="A2204" s="194"/>
      <c r="B2204" s="194"/>
      <c r="C2204" s="194"/>
      <c r="D2204" s="194"/>
      <c r="E2204" s="194"/>
      <c r="F2204" s="194"/>
      <c r="G2204" s="194"/>
      <c r="H2204" s="194"/>
      <c r="I2204" s="194"/>
      <c r="J2204" s="194"/>
      <c r="K2204" s="194"/>
      <c r="L2204" s="194"/>
    </row>
    <row r="2205" spans="1:12" x14ac:dyDescent="0.3">
      <c r="A2205" s="194"/>
      <c r="B2205" s="194"/>
      <c r="C2205" s="194"/>
      <c r="D2205" s="194"/>
      <c r="E2205" s="194"/>
      <c r="F2205" s="194"/>
      <c r="G2205" s="194"/>
      <c r="H2205" s="194"/>
      <c r="I2205" s="194"/>
      <c r="J2205" s="194"/>
      <c r="K2205" s="194"/>
      <c r="L2205" s="194"/>
    </row>
    <row r="2206" spans="1:12" x14ac:dyDescent="0.3">
      <c r="A2206" s="194"/>
      <c r="B2206" s="194"/>
      <c r="C2206" s="194"/>
      <c r="D2206" s="194"/>
      <c r="E2206" s="194"/>
      <c r="F2206" s="194"/>
      <c r="G2206" s="194"/>
      <c r="H2206" s="194"/>
      <c r="I2206" s="194"/>
      <c r="J2206" s="194"/>
      <c r="K2206" s="194"/>
      <c r="L2206" s="194"/>
    </row>
    <row r="2207" spans="1:12" x14ac:dyDescent="0.3">
      <c r="A2207" s="194"/>
      <c r="B2207" s="194"/>
      <c r="C2207" s="194"/>
      <c r="D2207" s="194"/>
      <c r="E2207" s="194"/>
      <c r="F2207" s="194"/>
      <c r="G2207" s="194"/>
      <c r="H2207" s="194"/>
      <c r="I2207" s="194"/>
      <c r="J2207" s="194"/>
      <c r="K2207" s="194"/>
      <c r="L2207" s="194"/>
    </row>
    <row r="2208" spans="1:12" x14ac:dyDescent="0.3">
      <c r="A2208" s="194"/>
      <c r="B2208" s="194"/>
      <c r="C2208" s="194"/>
      <c r="D2208" s="194"/>
      <c r="E2208" s="194"/>
      <c r="F2208" s="194"/>
      <c r="G2208" s="194"/>
      <c r="H2208" s="194"/>
      <c r="I2208" s="194"/>
      <c r="J2208" s="194"/>
      <c r="K2208" s="194"/>
      <c r="L2208" s="194"/>
    </row>
    <row r="2209" spans="1:12" x14ac:dyDescent="0.3">
      <c r="A2209" s="194"/>
      <c r="B2209" s="194"/>
      <c r="C2209" s="194"/>
      <c r="D2209" s="194"/>
      <c r="E2209" s="194"/>
      <c r="F2209" s="194"/>
      <c r="G2209" s="194"/>
      <c r="H2209" s="194"/>
      <c r="I2209" s="194"/>
      <c r="J2209" s="194"/>
      <c r="K2209" s="194"/>
      <c r="L2209" s="194"/>
    </row>
    <row r="2210" spans="1:12" x14ac:dyDescent="0.3">
      <c r="A2210" s="194"/>
      <c r="B2210" s="194"/>
      <c r="C2210" s="194"/>
      <c r="D2210" s="194"/>
      <c r="E2210" s="194"/>
      <c r="F2210" s="194"/>
      <c r="G2210" s="194"/>
      <c r="H2210" s="194"/>
      <c r="I2210" s="194"/>
      <c r="J2210" s="194"/>
      <c r="K2210" s="194"/>
      <c r="L2210" s="194"/>
    </row>
    <row r="2211" spans="1:12" x14ac:dyDescent="0.3">
      <c r="A2211" s="194"/>
      <c r="B2211" s="194"/>
      <c r="C2211" s="194"/>
      <c r="D2211" s="194"/>
      <c r="E2211" s="194"/>
      <c r="F2211" s="194"/>
      <c r="G2211" s="194"/>
      <c r="H2211" s="194"/>
      <c r="I2211" s="194"/>
      <c r="J2211" s="194"/>
      <c r="K2211" s="194"/>
      <c r="L2211" s="194"/>
    </row>
    <row r="2212" spans="1:12" x14ac:dyDescent="0.3">
      <c r="A2212" s="194"/>
      <c r="B2212" s="194"/>
      <c r="C2212" s="194"/>
      <c r="D2212" s="194"/>
      <c r="E2212" s="194"/>
      <c r="F2212" s="194"/>
      <c r="G2212" s="194"/>
      <c r="H2212" s="194"/>
      <c r="I2212" s="194"/>
      <c r="J2212" s="194"/>
      <c r="K2212" s="194"/>
      <c r="L2212" s="194"/>
    </row>
    <row r="2213" spans="1:12" x14ac:dyDescent="0.3">
      <c r="A2213" s="194"/>
      <c r="B2213" s="194"/>
      <c r="C2213" s="194"/>
      <c r="D2213" s="194"/>
      <c r="E2213" s="194"/>
      <c r="F2213" s="194"/>
      <c r="G2213" s="194"/>
      <c r="H2213" s="194"/>
      <c r="I2213" s="194"/>
      <c r="J2213" s="194"/>
      <c r="K2213" s="194"/>
      <c r="L2213" s="194"/>
    </row>
    <row r="2214" spans="1:12" x14ac:dyDescent="0.3">
      <c r="A2214" s="194"/>
      <c r="B2214" s="194"/>
      <c r="C2214" s="194"/>
      <c r="D2214" s="194"/>
      <c r="E2214" s="194"/>
      <c r="F2214" s="194"/>
      <c r="G2214" s="194"/>
      <c r="H2214" s="194"/>
      <c r="I2214" s="194"/>
      <c r="J2214" s="194"/>
      <c r="K2214" s="194"/>
      <c r="L2214" s="194"/>
    </row>
    <row r="2215" spans="1:12" x14ac:dyDescent="0.3">
      <c r="A2215" s="194"/>
      <c r="B2215" s="194"/>
      <c r="C2215" s="194"/>
      <c r="D2215" s="194"/>
      <c r="E2215" s="194"/>
      <c r="F2215" s="194"/>
      <c r="G2215" s="194"/>
      <c r="H2215" s="194"/>
      <c r="I2215" s="194"/>
      <c r="J2215" s="194"/>
      <c r="K2215" s="194"/>
      <c r="L2215" s="194"/>
    </row>
    <row r="2216" spans="1:12" x14ac:dyDescent="0.3">
      <c r="A2216" s="194"/>
      <c r="B2216" s="194"/>
      <c r="C2216" s="194"/>
      <c r="D2216" s="194"/>
      <c r="E2216" s="194"/>
      <c r="F2216" s="194"/>
      <c r="G2216" s="194"/>
      <c r="H2216" s="194"/>
      <c r="I2216" s="194"/>
      <c r="J2216" s="194"/>
      <c r="K2216" s="194"/>
      <c r="L2216" s="194"/>
    </row>
    <row r="2217" spans="1:12" x14ac:dyDescent="0.3">
      <c r="A2217" s="194"/>
      <c r="B2217" s="194"/>
      <c r="C2217" s="194"/>
      <c r="D2217" s="194"/>
      <c r="E2217" s="194"/>
      <c r="F2217" s="194"/>
      <c r="G2217" s="194"/>
      <c r="H2217" s="194"/>
      <c r="I2217" s="194"/>
      <c r="J2217" s="194"/>
      <c r="K2217" s="194"/>
      <c r="L2217" s="194"/>
    </row>
    <row r="2218" spans="1:12" x14ac:dyDescent="0.3">
      <c r="A2218" s="194"/>
      <c r="B2218" s="194"/>
      <c r="C2218" s="194"/>
      <c r="D2218" s="194"/>
      <c r="E2218" s="194"/>
      <c r="F2218" s="194"/>
      <c r="G2218" s="194"/>
      <c r="H2218" s="194"/>
      <c r="I2218" s="194"/>
      <c r="J2218" s="194"/>
      <c r="K2218" s="194"/>
      <c r="L2218" s="194"/>
    </row>
    <row r="2219" spans="1:12" x14ac:dyDescent="0.3">
      <c r="A2219" s="194"/>
      <c r="B2219" s="194"/>
      <c r="C2219" s="194"/>
      <c r="D2219" s="194"/>
      <c r="E2219" s="194"/>
      <c r="F2219" s="194"/>
      <c r="G2219" s="194"/>
      <c r="H2219" s="194"/>
      <c r="I2219" s="194"/>
      <c r="J2219" s="194"/>
      <c r="K2219" s="194"/>
      <c r="L2219" s="194"/>
    </row>
    <row r="2220" spans="1:12" x14ac:dyDescent="0.3">
      <c r="A2220" s="194"/>
      <c r="B2220" s="194"/>
      <c r="C2220" s="194"/>
      <c r="D2220" s="194"/>
      <c r="E2220" s="194"/>
      <c r="F2220" s="194"/>
      <c r="G2220" s="194"/>
      <c r="H2220" s="194"/>
      <c r="I2220" s="194"/>
      <c r="J2220" s="194"/>
      <c r="K2220" s="194"/>
      <c r="L2220" s="194"/>
    </row>
    <row r="2221" spans="1:12" x14ac:dyDescent="0.3">
      <c r="A2221" s="194"/>
      <c r="B2221" s="194"/>
      <c r="C2221" s="194"/>
      <c r="D2221" s="194"/>
      <c r="E2221" s="194"/>
      <c r="F2221" s="194"/>
      <c r="G2221" s="194"/>
      <c r="H2221" s="194"/>
      <c r="I2221" s="194"/>
      <c r="J2221" s="194"/>
      <c r="K2221" s="194"/>
      <c r="L2221" s="194"/>
    </row>
    <row r="2222" spans="1:12" x14ac:dyDescent="0.3">
      <c r="A2222" s="194"/>
      <c r="B2222" s="194"/>
      <c r="C2222" s="194"/>
      <c r="D2222" s="194"/>
      <c r="E2222" s="194"/>
      <c r="F2222" s="194"/>
      <c r="G2222" s="194"/>
      <c r="H2222" s="194"/>
      <c r="I2222" s="194"/>
      <c r="J2222" s="194"/>
      <c r="K2222" s="194"/>
      <c r="L2222" s="194"/>
    </row>
    <row r="2223" spans="1:12" x14ac:dyDescent="0.3">
      <c r="A2223" s="194"/>
      <c r="B2223" s="194"/>
      <c r="C2223" s="194"/>
      <c r="D2223" s="194"/>
      <c r="E2223" s="194"/>
      <c r="F2223" s="194"/>
      <c r="G2223" s="194"/>
      <c r="H2223" s="194"/>
      <c r="I2223" s="194"/>
      <c r="J2223" s="194"/>
      <c r="K2223" s="194"/>
      <c r="L2223" s="194"/>
    </row>
    <row r="2224" spans="1:12" x14ac:dyDescent="0.3">
      <c r="A2224" s="194"/>
      <c r="B2224" s="194"/>
      <c r="C2224" s="194"/>
      <c r="D2224" s="194"/>
      <c r="E2224" s="194"/>
      <c r="F2224" s="194"/>
      <c r="G2224" s="194"/>
      <c r="H2224" s="194"/>
      <c r="I2224" s="194"/>
      <c r="J2224" s="194"/>
      <c r="K2224" s="194"/>
      <c r="L2224" s="194"/>
    </row>
    <row r="2225" spans="1:12" x14ac:dyDescent="0.3">
      <c r="A2225" s="194"/>
      <c r="B2225" s="194"/>
      <c r="C2225" s="194"/>
      <c r="D2225" s="194"/>
      <c r="E2225" s="194"/>
      <c r="F2225" s="194"/>
      <c r="G2225" s="194"/>
      <c r="H2225" s="194"/>
      <c r="I2225" s="194"/>
      <c r="J2225" s="194"/>
      <c r="K2225" s="194"/>
      <c r="L2225" s="194"/>
    </row>
    <row r="2226" spans="1:12" x14ac:dyDescent="0.3">
      <c r="A2226" s="194"/>
      <c r="B2226" s="194"/>
      <c r="C2226" s="194"/>
      <c r="D2226" s="194"/>
      <c r="E2226" s="194"/>
      <c r="F2226" s="194"/>
      <c r="G2226" s="194"/>
      <c r="H2226" s="194"/>
      <c r="I2226" s="194"/>
      <c r="J2226" s="194"/>
      <c r="K2226" s="194"/>
      <c r="L2226" s="194"/>
    </row>
    <row r="2227" spans="1:12" x14ac:dyDescent="0.3">
      <c r="A2227" s="194"/>
      <c r="B2227" s="194"/>
      <c r="C2227" s="194"/>
      <c r="D2227" s="194"/>
      <c r="E2227" s="194"/>
      <c r="F2227" s="194"/>
      <c r="G2227" s="194"/>
      <c r="H2227" s="194"/>
      <c r="I2227" s="194"/>
      <c r="J2227" s="194"/>
      <c r="K2227" s="194"/>
      <c r="L2227" s="194"/>
    </row>
    <row r="2228" spans="1:12" x14ac:dyDescent="0.3">
      <c r="A2228" s="194"/>
      <c r="B2228" s="194"/>
      <c r="C2228" s="194"/>
      <c r="D2228" s="194"/>
      <c r="E2228" s="194"/>
      <c r="F2228" s="194"/>
      <c r="G2228" s="194"/>
      <c r="H2228" s="194"/>
      <c r="I2228" s="194"/>
      <c r="J2228" s="194"/>
      <c r="K2228" s="194"/>
      <c r="L2228" s="194"/>
    </row>
    <row r="2229" spans="1:12" x14ac:dyDescent="0.3">
      <c r="A2229" s="194"/>
      <c r="B2229" s="194"/>
      <c r="C2229" s="194"/>
      <c r="D2229" s="194"/>
      <c r="E2229" s="194"/>
      <c r="F2229" s="194"/>
      <c r="G2229" s="194"/>
      <c r="H2229" s="194"/>
      <c r="I2229" s="194"/>
      <c r="J2229" s="194"/>
      <c r="K2229" s="194"/>
      <c r="L2229" s="194"/>
    </row>
    <row r="2230" spans="1:12" x14ac:dyDescent="0.3">
      <c r="A2230" s="194"/>
      <c r="B2230" s="194"/>
      <c r="C2230" s="194"/>
      <c r="D2230" s="194"/>
      <c r="E2230" s="194"/>
      <c r="F2230" s="194"/>
      <c r="G2230" s="194"/>
      <c r="H2230" s="194"/>
      <c r="I2230" s="194"/>
      <c r="J2230" s="194"/>
      <c r="K2230" s="194"/>
      <c r="L2230" s="194"/>
    </row>
    <row r="2231" spans="1:12" x14ac:dyDescent="0.3">
      <c r="A2231" s="194"/>
      <c r="B2231" s="194"/>
      <c r="C2231" s="194"/>
      <c r="D2231" s="194"/>
      <c r="E2231" s="194"/>
      <c r="F2231" s="194"/>
      <c r="G2231" s="194"/>
      <c r="H2231" s="194"/>
      <c r="I2231" s="194"/>
      <c r="J2231" s="194"/>
      <c r="K2231" s="194"/>
      <c r="L2231" s="194"/>
    </row>
    <row r="2232" spans="1:12" x14ac:dyDescent="0.3">
      <c r="A2232" s="194"/>
      <c r="B2232" s="194"/>
      <c r="C2232" s="194"/>
      <c r="D2232" s="194"/>
      <c r="E2232" s="194"/>
      <c r="F2232" s="194"/>
      <c r="G2232" s="194"/>
      <c r="H2232" s="194"/>
      <c r="I2232" s="194"/>
      <c r="J2232" s="194"/>
      <c r="K2232" s="194"/>
      <c r="L2232" s="194"/>
    </row>
    <row r="2233" spans="1:12" x14ac:dyDescent="0.3">
      <c r="A2233" s="194"/>
      <c r="B2233" s="194"/>
      <c r="C2233" s="194"/>
      <c r="D2233" s="194"/>
      <c r="E2233" s="194"/>
      <c r="F2233" s="194"/>
      <c r="G2233" s="194"/>
      <c r="H2233" s="194"/>
      <c r="I2233" s="194"/>
      <c r="J2233" s="194"/>
      <c r="K2233" s="194"/>
      <c r="L2233" s="194"/>
    </row>
    <row r="2234" spans="1:12" x14ac:dyDescent="0.3">
      <c r="A2234" s="194"/>
      <c r="B2234" s="194"/>
      <c r="C2234" s="194"/>
      <c r="D2234" s="194"/>
      <c r="E2234" s="194"/>
      <c r="F2234" s="194"/>
      <c r="G2234" s="194"/>
      <c r="H2234" s="194"/>
      <c r="I2234" s="194"/>
      <c r="J2234" s="194"/>
      <c r="K2234" s="194"/>
      <c r="L2234" s="194"/>
    </row>
    <row r="2235" spans="1:12" x14ac:dyDescent="0.3">
      <c r="A2235" s="194"/>
      <c r="B2235" s="194"/>
      <c r="C2235" s="194"/>
      <c r="D2235" s="194"/>
      <c r="E2235" s="194"/>
      <c r="F2235" s="194"/>
      <c r="G2235" s="194"/>
      <c r="H2235" s="194"/>
      <c r="I2235" s="194"/>
      <c r="J2235" s="194"/>
      <c r="K2235" s="194"/>
      <c r="L2235" s="194"/>
    </row>
    <row r="2236" spans="1:12" x14ac:dyDescent="0.3">
      <c r="A2236" s="194"/>
      <c r="B2236" s="194"/>
      <c r="C2236" s="194"/>
      <c r="D2236" s="194"/>
      <c r="E2236" s="194"/>
      <c r="F2236" s="194"/>
      <c r="G2236" s="194"/>
      <c r="H2236" s="194"/>
      <c r="I2236" s="194"/>
      <c r="J2236" s="194"/>
      <c r="K2236" s="194"/>
      <c r="L2236" s="194"/>
    </row>
    <row r="2237" spans="1:12" x14ac:dyDescent="0.3">
      <c r="A2237" s="194"/>
      <c r="B2237" s="194"/>
      <c r="C2237" s="194"/>
      <c r="D2237" s="194"/>
      <c r="E2237" s="194"/>
      <c r="F2237" s="194"/>
      <c r="G2237" s="194"/>
      <c r="H2237" s="194"/>
      <c r="I2237" s="194"/>
      <c r="J2237" s="194"/>
      <c r="K2237" s="194"/>
      <c r="L2237" s="194"/>
    </row>
    <row r="2238" spans="1:12" x14ac:dyDescent="0.3">
      <c r="A2238" s="194"/>
      <c r="B2238" s="194"/>
      <c r="C2238" s="194"/>
      <c r="D2238" s="194"/>
      <c r="E2238" s="194"/>
      <c r="F2238" s="194"/>
      <c r="G2238" s="194"/>
      <c r="H2238" s="194"/>
      <c r="I2238" s="194"/>
      <c r="J2238" s="194"/>
      <c r="K2238" s="194"/>
      <c r="L2238" s="194"/>
    </row>
    <row r="2239" spans="1:12" x14ac:dyDescent="0.3">
      <c r="A2239" s="194"/>
      <c r="B2239" s="194"/>
      <c r="C2239" s="194"/>
      <c r="D2239" s="194"/>
      <c r="E2239" s="194"/>
      <c r="F2239" s="194"/>
      <c r="G2239" s="194"/>
      <c r="H2239" s="194"/>
      <c r="I2239" s="194"/>
      <c r="J2239" s="194"/>
      <c r="K2239" s="194"/>
      <c r="L2239" s="194"/>
    </row>
    <row r="2240" spans="1:12" x14ac:dyDescent="0.3">
      <c r="A2240" s="194"/>
      <c r="B2240" s="194"/>
      <c r="C2240" s="194"/>
      <c r="D2240" s="194"/>
      <c r="E2240" s="194"/>
      <c r="F2240" s="194"/>
      <c r="G2240" s="194"/>
      <c r="H2240" s="194"/>
      <c r="I2240" s="194"/>
      <c r="J2240" s="194"/>
      <c r="K2240" s="194"/>
      <c r="L2240" s="194"/>
    </row>
    <row r="2241" spans="1:12" x14ac:dyDescent="0.3">
      <c r="A2241" s="194"/>
      <c r="B2241" s="194"/>
      <c r="C2241" s="194"/>
      <c r="D2241" s="194"/>
      <c r="E2241" s="194"/>
      <c r="F2241" s="194"/>
      <c r="G2241" s="194"/>
      <c r="H2241" s="194"/>
      <c r="I2241" s="194"/>
      <c r="J2241" s="194"/>
      <c r="K2241" s="194"/>
      <c r="L2241" s="194"/>
    </row>
    <row r="2242" spans="1:12" x14ac:dyDescent="0.3">
      <c r="A2242" s="194"/>
      <c r="B2242" s="194"/>
      <c r="C2242" s="194"/>
      <c r="D2242" s="194"/>
      <c r="E2242" s="194"/>
      <c r="F2242" s="194"/>
      <c r="G2242" s="194"/>
      <c r="H2242" s="194"/>
      <c r="I2242" s="194"/>
      <c r="J2242" s="194"/>
      <c r="K2242" s="194"/>
      <c r="L2242" s="194"/>
    </row>
    <row r="2243" spans="1:12" x14ac:dyDescent="0.3">
      <c r="A2243" s="194"/>
      <c r="B2243" s="194"/>
      <c r="C2243" s="194"/>
      <c r="D2243" s="194"/>
      <c r="E2243" s="194"/>
      <c r="F2243" s="194"/>
      <c r="G2243" s="194"/>
      <c r="H2243" s="194"/>
      <c r="I2243" s="194"/>
      <c r="J2243" s="194"/>
      <c r="K2243" s="194"/>
      <c r="L2243" s="194"/>
    </row>
    <row r="2244" spans="1:12" x14ac:dyDescent="0.3">
      <c r="A2244" s="194"/>
      <c r="B2244" s="194"/>
      <c r="C2244" s="194"/>
      <c r="D2244" s="194"/>
      <c r="E2244" s="194"/>
      <c r="F2244" s="194"/>
      <c r="G2244" s="194"/>
      <c r="H2244" s="194"/>
      <c r="I2244" s="194"/>
      <c r="J2244" s="194"/>
      <c r="K2244" s="194"/>
      <c r="L2244" s="194"/>
    </row>
    <row r="2245" spans="1:12" x14ac:dyDescent="0.3">
      <c r="A2245" s="194"/>
      <c r="B2245" s="194"/>
      <c r="C2245" s="194"/>
      <c r="D2245" s="194"/>
      <c r="E2245" s="194"/>
      <c r="F2245" s="194"/>
      <c r="G2245" s="194"/>
      <c r="H2245" s="194"/>
      <c r="I2245" s="194"/>
      <c r="J2245" s="194"/>
      <c r="K2245" s="194"/>
      <c r="L2245" s="194"/>
    </row>
    <row r="2246" spans="1:12" x14ac:dyDescent="0.3">
      <c r="A2246" s="194"/>
      <c r="B2246" s="194"/>
      <c r="C2246" s="194"/>
      <c r="D2246" s="194"/>
      <c r="E2246" s="194"/>
      <c r="F2246" s="194"/>
      <c r="G2246" s="194"/>
      <c r="H2246" s="194"/>
      <c r="I2246" s="194"/>
      <c r="J2246" s="194"/>
      <c r="K2246" s="194"/>
      <c r="L2246" s="194"/>
    </row>
    <row r="2247" spans="1:12" x14ac:dyDescent="0.3">
      <c r="A2247" s="194"/>
      <c r="B2247" s="194"/>
      <c r="C2247" s="194"/>
      <c r="D2247" s="194"/>
      <c r="E2247" s="194"/>
      <c r="F2247" s="194"/>
      <c r="G2247" s="194"/>
      <c r="H2247" s="194"/>
      <c r="I2247" s="194"/>
      <c r="J2247" s="194"/>
      <c r="K2247" s="194"/>
      <c r="L2247" s="194"/>
    </row>
    <row r="2248" spans="1:12" x14ac:dyDescent="0.3">
      <c r="A2248" s="194"/>
      <c r="B2248" s="194"/>
      <c r="C2248" s="194"/>
      <c r="D2248" s="194"/>
      <c r="E2248" s="194"/>
      <c r="F2248" s="194"/>
      <c r="G2248" s="194"/>
      <c r="H2248" s="194"/>
      <c r="I2248" s="194"/>
      <c r="J2248" s="194"/>
      <c r="K2248" s="194"/>
      <c r="L2248" s="194"/>
    </row>
    <row r="2249" spans="1:12" x14ac:dyDescent="0.3">
      <c r="A2249" s="194"/>
      <c r="B2249" s="194"/>
      <c r="C2249" s="194"/>
      <c r="D2249" s="194"/>
      <c r="E2249" s="194"/>
      <c r="F2249" s="194"/>
      <c r="G2249" s="194"/>
      <c r="H2249" s="194"/>
      <c r="I2249" s="194"/>
      <c r="J2249" s="194"/>
      <c r="K2249" s="194"/>
      <c r="L2249" s="194"/>
    </row>
    <row r="2250" spans="1:12" x14ac:dyDescent="0.3">
      <c r="A2250" s="194"/>
      <c r="B2250" s="194"/>
      <c r="C2250" s="194"/>
      <c r="D2250" s="194"/>
      <c r="E2250" s="194"/>
      <c r="F2250" s="194"/>
      <c r="G2250" s="194"/>
      <c r="H2250" s="194"/>
      <c r="I2250" s="194"/>
      <c r="J2250" s="194"/>
      <c r="K2250" s="194"/>
      <c r="L2250" s="194"/>
    </row>
    <row r="2251" spans="1:12" x14ac:dyDescent="0.3">
      <c r="A2251" s="194"/>
      <c r="B2251" s="194"/>
      <c r="C2251" s="194"/>
      <c r="D2251" s="194"/>
      <c r="E2251" s="194"/>
      <c r="F2251" s="194"/>
      <c r="G2251" s="194"/>
      <c r="H2251" s="194"/>
      <c r="I2251" s="194"/>
      <c r="J2251" s="194"/>
      <c r="K2251" s="194"/>
      <c r="L2251" s="194"/>
    </row>
    <row r="2252" spans="1:12" x14ac:dyDescent="0.3">
      <c r="A2252" s="194"/>
      <c r="B2252" s="194"/>
      <c r="C2252" s="194"/>
      <c r="D2252" s="194"/>
      <c r="E2252" s="194"/>
      <c r="F2252" s="194"/>
      <c r="G2252" s="194"/>
      <c r="H2252" s="194"/>
      <c r="I2252" s="194"/>
      <c r="J2252" s="194"/>
      <c r="K2252" s="194"/>
      <c r="L2252" s="194"/>
    </row>
    <row r="2253" spans="1:12" x14ac:dyDescent="0.3">
      <c r="A2253" s="194"/>
      <c r="B2253" s="194"/>
      <c r="C2253" s="194"/>
      <c r="D2253" s="194"/>
      <c r="E2253" s="194"/>
      <c r="F2253" s="194"/>
      <c r="G2253" s="194"/>
      <c r="H2253" s="194"/>
      <c r="I2253" s="194"/>
      <c r="J2253" s="194"/>
      <c r="K2253" s="194"/>
      <c r="L2253" s="194"/>
    </row>
    <row r="2254" spans="1:12" x14ac:dyDescent="0.3">
      <c r="A2254" s="194"/>
      <c r="B2254" s="194"/>
      <c r="C2254" s="194"/>
      <c r="D2254" s="194"/>
      <c r="E2254" s="194"/>
      <c r="F2254" s="194"/>
      <c r="G2254" s="194"/>
      <c r="H2254" s="194"/>
      <c r="I2254" s="194"/>
      <c r="J2254" s="194"/>
      <c r="K2254" s="194"/>
      <c r="L2254" s="194"/>
    </row>
    <row r="2255" spans="1:12" x14ac:dyDescent="0.3">
      <c r="A2255" s="194"/>
      <c r="B2255" s="194"/>
      <c r="C2255" s="194"/>
      <c r="D2255" s="194"/>
      <c r="E2255" s="194"/>
      <c r="F2255" s="194"/>
      <c r="G2255" s="194"/>
      <c r="H2255" s="194"/>
      <c r="I2255" s="194"/>
      <c r="J2255" s="194"/>
      <c r="K2255" s="194"/>
      <c r="L2255" s="194"/>
    </row>
    <row r="2256" spans="1:12" x14ac:dyDescent="0.3">
      <c r="A2256" s="194"/>
      <c r="B2256" s="194"/>
      <c r="C2256" s="194"/>
      <c r="D2256" s="194"/>
      <c r="E2256" s="194"/>
      <c r="F2256" s="194"/>
      <c r="G2256" s="194"/>
      <c r="H2256" s="194"/>
      <c r="I2256" s="194"/>
      <c r="J2256" s="194"/>
      <c r="K2256" s="194"/>
      <c r="L2256" s="194"/>
    </row>
    <row r="2257" spans="1:12" x14ac:dyDescent="0.3">
      <c r="A2257" s="194"/>
      <c r="B2257" s="194"/>
      <c r="C2257" s="194"/>
      <c r="D2257" s="194"/>
      <c r="E2257" s="194"/>
      <c r="F2257" s="194"/>
      <c r="G2257" s="194"/>
      <c r="H2257" s="194"/>
      <c r="I2257" s="194"/>
      <c r="J2257" s="194"/>
      <c r="K2257" s="194"/>
      <c r="L2257" s="194"/>
    </row>
    <row r="2258" spans="1:12" x14ac:dyDescent="0.3">
      <c r="A2258" s="194"/>
      <c r="B2258" s="194"/>
      <c r="C2258" s="194"/>
      <c r="D2258" s="194"/>
      <c r="E2258" s="194"/>
      <c r="F2258" s="194"/>
      <c r="G2258" s="194"/>
      <c r="H2258" s="194"/>
      <c r="I2258" s="194"/>
      <c r="J2258" s="194"/>
      <c r="K2258" s="194"/>
      <c r="L2258" s="194"/>
    </row>
    <row r="2259" spans="1:12" x14ac:dyDescent="0.3">
      <c r="A2259" s="194"/>
      <c r="B2259" s="194"/>
      <c r="C2259" s="194"/>
      <c r="D2259" s="194"/>
      <c r="E2259" s="194"/>
      <c r="F2259" s="194"/>
      <c r="G2259" s="194"/>
      <c r="H2259" s="194"/>
      <c r="I2259" s="194"/>
      <c r="J2259" s="194"/>
      <c r="K2259" s="194"/>
      <c r="L2259" s="194"/>
    </row>
    <row r="2260" spans="1:12" x14ac:dyDescent="0.3">
      <c r="A2260" s="194"/>
      <c r="B2260" s="194"/>
      <c r="C2260" s="194"/>
      <c r="D2260" s="194"/>
      <c r="E2260" s="194"/>
      <c r="F2260" s="194"/>
      <c r="G2260" s="194"/>
      <c r="H2260" s="194"/>
      <c r="I2260" s="194"/>
      <c r="J2260" s="194"/>
      <c r="K2260" s="194"/>
      <c r="L2260" s="194"/>
    </row>
    <row r="2261" spans="1:12" x14ac:dyDescent="0.3">
      <c r="A2261" s="194"/>
      <c r="B2261" s="194"/>
      <c r="C2261" s="194"/>
      <c r="D2261" s="194"/>
      <c r="E2261" s="194"/>
      <c r="F2261" s="194"/>
      <c r="G2261" s="194"/>
      <c r="H2261" s="194"/>
      <c r="I2261" s="194"/>
      <c r="J2261" s="194"/>
      <c r="K2261" s="194"/>
      <c r="L2261" s="194"/>
    </row>
    <row r="2262" spans="1:12" x14ac:dyDescent="0.3">
      <c r="A2262" s="194"/>
      <c r="B2262" s="194"/>
      <c r="C2262" s="194"/>
      <c r="D2262" s="194"/>
      <c r="E2262" s="194"/>
      <c r="F2262" s="194"/>
      <c r="G2262" s="194"/>
      <c r="H2262" s="194"/>
      <c r="I2262" s="194"/>
      <c r="J2262" s="194"/>
      <c r="K2262" s="194"/>
      <c r="L2262" s="194"/>
    </row>
    <row r="2263" spans="1:12" x14ac:dyDescent="0.3">
      <c r="A2263" s="194"/>
      <c r="B2263" s="194"/>
      <c r="C2263" s="194"/>
      <c r="D2263" s="194"/>
      <c r="E2263" s="194"/>
      <c r="F2263" s="194"/>
      <c r="G2263" s="194"/>
      <c r="H2263" s="194"/>
      <c r="I2263" s="194"/>
      <c r="J2263" s="194"/>
      <c r="K2263" s="194"/>
      <c r="L2263" s="194"/>
    </row>
    <row r="2264" spans="1:12" x14ac:dyDescent="0.3">
      <c r="A2264" s="194"/>
      <c r="B2264" s="194"/>
      <c r="C2264" s="194"/>
      <c r="D2264" s="194"/>
      <c r="E2264" s="194"/>
      <c r="F2264" s="194"/>
      <c r="G2264" s="194"/>
      <c r="H2264" s="194"/>
      <c r="I2264" s="194"/>
      <c r="J2264" s="194"/>
      <c r="K2264" s="194"/>
      <c r="L2264" s="194"/>
    </row>
    <row r="2265" spans="1:12" x14ac:dyDescent="0.3">
      <c r="A2265" s="194"/>
      <c r="B2265" s="194"/>
      <c r="C2265" s="194"/>
      <c r="D2265" s="194"/>
      <c r="E2265" s="194"/>
      <c r="F2265" s="194"/>
      <c r="G2265" s="194"/>
      <c r="H2265" s="194"/>
      <c r="I2265" s="194"/>
      <c r="J2265" s="194"/>
      <c r="K2265" s="194"/>
      <c r="L2265" s="194"/>
    </row>
    <row r="2266" spans="1:12" x14ac:dyDescent="0.3">
      <c r="A2266" s="194"/>
      <c r="B2266" s="194"/>
      <c r="C2266" s="194"/>
      <c r="D2266" s="194"/>
      <c r="E2266" s="194"/>
      <c r="F2266" s="194"/>
      <c r="G2266" s="194"/>
      <c r="H2266" s="194"/>
      <c r="I2266" s="194"/>
      <c r="J2266" s="194"/>
      <c r="K2266" s="194"/>
      <c r="L2266" s="194"/>
    </row>
    <row r="2267" spans="1:12" x14ac:dyDescent="0.3">
      <c r="A2267" s="194"/>
      <c r="B2267" s="194"/>
      <c r="C2267" s="194"/>
      <c r="D2267" s="194"/>
      <c r="E2267" s="194"/>
      <c r="F2267" s="194"/>
      <c r="G2267" s="194"/>
      <c r="H2267" s="194"/>
      <c r="I2267" s="194"/>
      <c r="J2267" s="194"/>
      <c r="K2267" s="194"/>
      <c r="L2267" s="194"/>
    </row>
    <row r="2268" spans="1:12" x14ac:dyDescent="0.3">
      <c r="A2268" s="194"/>
      <c r="B2268" s="194"/>
      <c r="C2268" s="194"/>
      <c r="D2268" s="194"/>
      <c r="E2268" s="194"/>
      <c r="F2268" s="194"/>
      <c r="G2268" s="194"/>
      <c r="H2268" s="194"/>
      <c r="I2268" s="194"/>
      <c r="J2268" s="194"/>
      <c r="K2268" s="194"/>
      <c r="L2268" s="194"/>
    </row>
    <row r="2269" spans="1:12" x14ac:dyDescent="0.3">
      <c r="A2269" s="194"/>
      <c r="B2269" s="194"/>
      <c r="C2269" s="194"/>
      <c r="D2269" s="194"/>
      <c r="E2269" s="194"/>
      <c r="F2269" s="194"/>
      <c r="G2269" s="194"/>
      <c r="H2269" s="194"/>
      <c r="I2269" s="194"/>
      <c r="J2269" s="194"/>
      <c r="K2269" s="194"/>
      <c r="L2269" s="194"/>
    </row>
    <row r="2270" spans="1:12" x14ac:dyDescent="0.3">
      <c r="A2270" s="194"/>
      <c r="B2270" s="194"/>
      <c r="C2270" s="194"/>
      <c r="D2270" s="194"/>
      <c r="E2270" s="194"/>
      <c r="F2270" s="194"/>
      <c r="G2270" s="194"/>
      <c r="H2270" s="194"/>
      <c r="I2270" s="194"/>
      <c r="J2270" s="194"/>
      <c r="K2270" s="194"/>
      <c r="L2270" s="194"/>
    </row>
    <row r="2271" spans="1:12" x14ac:dyDescent="0.3">
      <c r="A2271" s="194"/>
      <c r="B2271" s="194"/>
      <c r="C2271" s="194"/>
      <c r="D2271" s="194"/>
      <c r="E2271" s="194"/>
      <c r="F2271" s="194"/>
      <c r="G2271" s="194"/>
      <c r="H2271" s="194"/>
      <c r="I2271" s="194"/>
      <c r="J2271" s="194"/>
      <c r="K2271" s="194"/>
      <c r="L2271" s="194"/>
    </row>
    <row r="2272" spans="1:12" x14ac:dyDescent="0.3">
      <c r="A2272" s="194"/>
      <c r="B2272" s="194"/>
      <c r="C2272" s="194"/>
      <c r="D2272" s="194"/>
      <c r="E2272" s="194"/>
      <c r="F2272" s="194"/>
      <c r="G2272" s="194"/>
      <c r="H2272" s="194"/>
      <c r="I2272" s="194"/>
      <c r="J2272" s="194"/>
      <c r="K2272" s="194"/>
      <c r="L2272" s="194"/>
    </row>
    <row r="2273" spans="1:12" x14ac:dyDescent="0.3">
      <c r="A2273" s="194"/>
      <c r="B2273" s="194"/>
      <c r="C2273" s="194"/>
      <c r="D2273" s="194"/>
      <c r="E2273" s="194"/>
      <c r="F2273" s="194"/>
      <c r="G2273" s="194"/>
      <c r="H2273" s="194"/>
      <c r="I2273" s="194"/>
      <c r="J2273" s="194"/>
      <c r="K2273" s="194"/>
      <c r="L2273" s="194"/>
    </row>
    <row r="2274" spans="1:12" x14ac:dyDescent="0.3">
      <c r="A2274" s="194"/>
      <c r="B2274" s="194"/>
      <c r="C2274" s="194"/>
      <c r="D2274" s="194"/>
      <c r="E2274" s="194"/>
      <c r="F2274" s="194"/>
      <c r="G2274" s="194"/>
      <c r="H2274" s="194"/>
      <c r="I2274" s="194"/>
      <c r="J2274" s="194"/>
      <c r="K2274" s="194"/>
      <c r="L2274" s="194"/>
    </row>
    <row r="2275" spans="1:12" x14ac:dyDescent="0.3">
      <c r="A2275" s="194"/>
      <c r="B2275" s="194"/>
      <c r="C2275" s="194"/>
      <c r="D2275" s="194"/>
      <c r="E2275" s="194"/>
      <c r="F2275" s="194"/>
      <c r="G2275" s="194"/>
      <c r="H2275" s="194"/>
      <c r="I2275" s="194"/>
      <c r="J2275" s="194"/>
      <c r="K2275" s="194"/>
      <c r="L2275" s="194"/>
    </row>
    <row r="2276" spans="1:12" x14ac:dyDescent="0.3">
      <c r="A2276" s="194"/>
      <c r="B2276" s="194"/>
      <c r="C2276" s="194"/>
      <c r="D2276" s="194"/>
      <c r="E2276" s="194"/>
      <c r="F2276" s="194"/>
      <c r="G2276" s="194"/>
      <c r="H2276" s="194"/>
      <c r="I2276" s="194"/>
      <c r="J2276" s="194"/>
      <c r="K2276" s="194"/>
      <c r="L2276" s="194"/>
    </row>
    <row r="2277" spans="1:12" x14ac:dyDescent="0.3">
      <c r="A2277" s="194"/>
      <c r="B2277" s="194"/>
      <c r="C2277" s="194"/>
      <c r="D2277" s="194"/>
      <c r="E2277" s="194"/>
      <c r="F2277" s="194"/>
      <c r="G2277" s="194"/>
      <c r="H2277" s="194"/>
      <c r="I2277" s="194"/>
      <c r="J2277" s="194"/>
      <c r="K2277" s="194"/>
      <c r="L2277" s="194"/>
    </row>
    <row r="2278" spans="1:12" x14ac:dyDescent="0.3">
      <c r="A2278" s="194"/>
      <c r="B2278" s="194"/>
      <c r="C2278" s="194"/>
      <c r="D2278" s="194"/>
      <c r="E2278" s="194"/>
      <c r="F2278" s="194"/>
      <c r="G2278" s="194"/>
      <c r="H2278" s="194"/>
      <c r="I2278" s="194"/>
      <c r="J2278" s="194"/>
      <c r="K2278" s="194"/>
      <c r="L2278" s="194"/>
    </row>
    <row r="2279" spans="1:12" x14ac:dyDescent="0.3">
      <c r="A2279" s="194"/>
      <c r="B2279" s="194"/>
      <c r="C2279" s="194"/>
      <c r="D2279" s="194"/>
      <c r="E2279" s="194"/>
      <c r="F2279" s="194"/>
      <c r="G2279" s="194"/>
      <c r="H2279" s="194"/>
      <c r="I2279" s="194"/>
      <c r="J2279" s="194"/>
      <c r="K2279" s="194"/>
      <c r="L2279" s="194"/>
    </row>
    <row r="2280" spans="1:12" x14ac:dyDescent="0.3">
      <c r="A2280" s="194"/>
      <c r="B2280" s="194"/>
      <c r="C2280" s="194"/>
      <c r="D2280" s="194"/>
      <c r="E2280" s="194"/>
      <c r="F2280" s="194"/>
      <c r="G2280" s="194"/>
      <c r="H2280" s="194"/>
      <c r="I2280" s="194"/>
      <c r="J2280" s="194"/>
      <c r="K2280" s="194"/>
      <c r="L2280" s="194"/>
    </row>
    <row r="2281" spans="1:12" x14ac:dyDescent="0.3">
      <c r="A2281" s="194"/>
      <c r="B2281" s="194"/>
      <c r="C2281" s="194"/>
      <c r="D2281" s="194"/>
      <c r="E2281" s="194"/>
      <c r="F2281" s="194"/>
      <c r="G2281" s="194"/>
      <c r="H2281" s="194"/>
      <c r="I2281" s="194"/>
      <c r="J2281" s="194"/>
      <c r="K2281" s="194"/>
      <c r="L2281" s="194"/>
    </row>
    <row r="2282" spans="1:12" x14ac:dyDescent="0.3">
      <c r="A2282" s="194"/>
      <c r="B2282" s="194"/>
      <c r="C2282" s="194"/>
      <c r="D2282" s="194"/>
      <c r="E2282" s="194"/>
      <c r="F2282" s="194"/>
      <c r="G2282" s="194"/>
      <c r="H2282" s="194"/>
      <c r="I2282" s="194"/>
      <c r="J2282" s="194"/>
      <c r="K2282" s="194"/>
      <c r="L2282" s="194"/>
    </row>
    <row r="2283" spans="1:12" x14ac:dyDescent="0.3">
      <c r="A2283" s="194"/>
      <c r="B2283" s="194"/>
      <c r="C2283" s="194"/>
      <c r="D2283" s="194"/>
      <c r="E2283" s="194"/>
      <c r="F2283" s="194"/>
      <c r="G2283" s="194"/>
      <c r="H2283" s="194"/>
      <c r="I2283" s="194"/>
      <c r="J2283" s="194"/>
      <c r="K2283" s="194"/>
      <c r="L2283" s="194"/>
    </row>
    <row r="2284" spans="1:12" x14ac:dyDescent="0.3">
      <c r="A2284" s="194"/>
      <c r="B2284" s="194"/>
      <c r="C2284" s="194"/>
      <c r="D2284" s="194"/>
      <c r="E2284" s="194"/>
      <c r="F2284" s="194"/>
      <c r="G2284" s="194"/>
      <c r="H2284" s="194"/>
      <c r="I2284" s="194"/>
      <c r="J2284" s="194"/>
      <c r="K2284" s="194"/>
      <c r="L2284" s="194"/>
    </row>
    <row r="2285" spans="1:12" x14ac:dyDescent="0.3">
      <c r="A2285" s="194"/>
      <c r="B2285" s="194"/>
      <c r="C2285" s="194"/>
      <c r="D2285" s="194"/>
      <c r="E2285" s="194"/>
      <c r="F2285" s="194"/>
      <c r="G2285" s="194"/>
      <c r="H2285" s="194"/>
      <c r="I2285" s="194"/>
      <c r="J2285" s="194"/>
      <c r="K2285" s="194"/>
      <c r="L2285" s="194"/>
    </row>
    <row r="2286" spans="1:12" x14ac:dyDescent="0.3">
      <c r="A2286" s="194"/>
      <c r="B2286" s="194"/>
      <c r="C2286" s="194"/>
      <c r="D2286" s="194"/>
      <c r="E2286" s="194"/>
      <c r="F2286" s="194"/>
      <c r="G2286" s="194"/>
      <c r="H2286" s="194"/>
      <c r="I2286" s="194"/>
      <c r="J2286" s="194"/>
      <c r="K2286" s="194"/>
      <c r="L2286" s="194"/>
    </row>
    <row r="2287" spans="1:12" x14ac:dyDescent="0.3">
      <c r="A2287" s="194"/>
      <c r="B2287" s="194"/>
      <c r="C2287" s="194"/>
      <c r="D2287" s="194"/>
      <c r="E2287" s="194"/>
      <c r="F2287" s="194"/>
      <c r="G2287" s="194"/>
      <c r="H2287" s="194"/>
      <c r="I2287" s="194"/>
      <c r="J2287" s="194"/>
      <c r="K2287" s="194"/>
      <c r="L2287" s="194"/>
    </row>
    <row r="2288" spans="1:12" x14ac:dyDescent="0.3">
      <c r="A2288" s="194"/>
      <c r="B2288" s="194"/>
      <c r="C2288" s="194"/>
      <c r="D2288" s="194"/>
      <c r="E2288" s="194"/>
      <c r="F2288" s="194"/>
      <c r="G2288" s="194"/>
      <c r="H2288" s="194"/>
      <c r="I2288" s="194"/>
      <c r="J2288" s="194"/>
      <c r="K2288" s="194"/>
      <c r="L2288" s="194"/>
    </row>
    <row r="2289" spans="1:12" x14ac:dyDescent="0.3">
      <c r="A2289" s="194"/>
      <c r="B2289" s="194"/>
      <c r="C2289" s="194"/>
      <c r="D2289" s="194"/>
      <c r="E2289" s="194"/>
      <c r="F2289" s="194"/>
      <c r="G2289" s="194"/>
      <c r="H2289" s="194"/>
      <c r="I2289" s="194"/>
      <c r="J2289" s="194"/>
      <c r="K2289" s="194"/>
      <c r="L2289" s="194"/>
    </row>
    <row r="2290" spans="1:12" x14ac:dyDescent="0.3">
      <c r="A2290" s="194"/>
      <c r="B2290" s="194"/>
      <c r="C2290" s="194"/>
      <c r="D2290" s="194"/>
      <c r="E2290" s="194"/>
      <c r="F2290" s="194"/>
      <c r="G2290" s="194"/>
      <c r="H2290" s="194"/>
      <c r="I2290" s="194"/>
      <c r="J2290" s="194"/>
      <c r="K2290" s="194"/>
      <c r="L2290" s="194"/>
    </row>
    <row r="2291" spans="1:12" x14ac:dyDescent="0.3">
      <c r="A2291" s="194"/>
      <c r="B2291" s="194"/>
      <c r="C2291" s="194"/>
      <c r="D2291" s="194"/>
      <c r="E2291" s="194"/>
      <c r="F2291" s="194"/>
      <c r="G2291" s="194"/>
      <c r="H2291" s="194"/>
      <c r="I2291" s="194"/>
      <c r="J2291" s="194"/>
      <c r="K2291" s="194"/>
      <c r="L2291" s="194"/>
    </row>
    <row r="2292" spans="1:12" x14ac:dyDescent="0.3">
      <c r="A2292" s="194"/>
      <c r="B2292" s="194"/>
      <c r="C2292" s="194"/>
      <c r="D2292" s="194"/>
      <c r="E2292" s="194"/>
      <c r="F2292" s="194"/>
      <c r="G2292" s="194"/>
      <c r="H2292" s="194"/>
      <c r="I2292" s="194"/>
      <c r="J2292" s="194"/>
      <c r="K2292" s="194"/>
      <c r="L2292" s="194"/>
    </row>
    <row r="2293" spans="1:12" x14ac:dyDescent="0.3">
      <c r="A2293" s="194"/>
      <c r="B2293" s="194"/>
      <c r="C2293" s="194"/>
      <c r="D2293" s="194"/>
      <c r="E2293" s="194"/>
      <c r="F2293" s="194"/>
      <c r="G2293" s="194"/>
      <c r="H2293" s="194"/>
      <c r="I2293" s="194"/>
      <c r="J2293" s="194"/>
      <c r="K2293" s="194"/>
      <c r="L2293" s="194"/>
    </row>
    <row r="2294" spans="1:12" x14ac:dyDescent="0.3">
      <c r="A2294" s="194"/>
      <c r="B2294" s="194"/>
      <c r="C2294" s="194"/>
      <c r="D2294" s="194"/>
      <c r="E2294" s="194"/>
      <c r="F2294" s="194"/>
      <c r="G2294" s="194"/>
      <c r="H2294" s="194"/>
      <c r="I2294" s="194"/>
      <c r="J2294" s="194"/>
      <c r="K2294" s="194"/>
      <c r="L2294" s="194"/>
    </row>
    <row r="2295" spans="1:12" x14ac:dyDescent="0.3">
      <c r="A2295" s="194"/>
      <c r="B2295" s="194"/>
      <c r="C2295" s="194"/>
      <c r="D2295" s="194"/>
      <c r="E2295" s="194"/>
      <c r="F2295" s="194"/>
      <c r="G2295" s="194"/>
      <c r="H2295" s="194"/>
      <c r="I2295" s="194"/>
      <c r="J2295" s="194"/>
      <c r="K2295" s="194"/>
      <c r="L2295" s="194"/>
    </row>
    <row r="2296" spans="1:12" x14ac:dyDescent="0.3">
      <c r="A2296" s="194"/>
      <c r="B2296" s="194"/>
      <c r="C2296" s="194"/>
      <c r="D2296" s="194"/>
      <c r="E2296" s="194"/>
      <c r="F2296" s="194"/>
      <c r="G2296" s="194"/>
      <c r="H2296" s="194"/>
      <c r="I2296" s="194"/>
      <c r="J2296" s="194"/>
      <c r="K2296" s="194"/>
      <c r="L2296" s="194"/>
    </row>
    <row r="2297" spans="1:12" x14ac:dyDescent="0.3">
      <c r="A2297" s="194"/>
      <c r="B2297" s="194"/>
      <c r="C2297" s="194"/>
      <c r="D2297" s="194"/>
      <c r="E2297" s="194"/>
      <c r="F2297" s="194"/>
      <c r="G2297" s="194"/>
      <c r="H2297" s="194"/>
      <c r="I2297" s="194"/>
      <c r="J2297" s="194"/>
      <c r="K2297" s="194"/>
      <c r="L2297" s="194"/>
    </row>
    <row r="2298" spans="1:12" x14ac:dyDescent="0.3">
      <c r="A2298" s="194"/>
      <c r="B2298" s="194"/>
      <c r="C2298" s="194"/>
      <c r="D2298" s="194"/>
      <c r="E2298" s="194"/>
      <c r="F2298" s="194"/>
      <c r="G2298" s="194"/>
      <c r="H2298" s="194"/>
      <c r="I2298" s="194"/>
      <c r="J2298" s="194"/>
      <c r="K2298" s="194"/>
      <c r="L2298" s="194"/>
    </row>
    <row r="2299" spans="1:12" x14ac:dyDescent="0.3">
      <c r="A2299" s="194"/>
      <c r="B2299" s="194"/>
      <c r="C2299" s="194"/>
      <c r="D2299" s="194"/>
      <c r="E2299" s="194"/>
      <c r="F2299" s="194"/>
      <c r="G2299" s="194"/>
      <c r="H2299" s="194"/>
      <c r="I2299" s="194"/>
      <c r="J2299" s="194"/>
      <c r="K2299" s="194"/>
      <c r="L2299" s="194"/>
    </row>
    <row r="2300" spans="1:12" x14ac:dyDescent="0.3">
      <c r="A2300" s="194"/>
      <c r="B2300" s="194"/>
      <c r="C2300" s="194"/>
      <c r="D2300" s="194"/>
      <c r="E2300" s="194"/>
      <c r="F2300" s="194"/>
      <c r="G2300" s="194"/>
      <c r="H2300" s="194"/>
      <c r="I2300" s="194"/>
      <c r="J2300" s="194"/>
      <c r="K2300" s="194"/>
      <c r="L2300" s="194"/>
    </row>
    <row r="2301" spans="1:12" x14ac:dyDescent="0.3">
      <c r="A2301" s="194"/>
      <c r="B2301" s="194"/>
      <c r="C2301" s="194"/>
      <c r="D2301" s="194"/>
      <c r="E2301" s="194"/>
      <c r="F2301" s="194"/>
      <c r="G2301" s="194"/>
      <c r="H2301" s="194"/>
      <c r="I2301" s="194"/>
      <c r="J2301" s="194"/>
      <c r="K2301" s="194"/>
      <c r="L2301" s="194"/>
    </row>
    <row r="2302" spans="1:12" x14ac:dyDescent="0.3">
      <c r="A2302" s="194"/>
      <c r="B2302" s="194"/>
      <c r="C2302" s="194"/>
      <c r="D2302" s="194"/>
      <c r="E2302" s="194"/>
      <c r="F2302" s="194"/>
      <c r="G2302" s="194"/>
      <c r="H2302" s="194"/>
      <c r="I2302" s="194"/>
      <c r="J2302" s="194"/>
      <c r="K2302" s="194"/>
      <c r="L2302" s="194"/>
    </row>
    <row r="2303" spans="1:12" x14ac:dyDescent="0.3">
      <c r="A2303" s="194"/>
      <c r="B2303" s="194"/>
      <c r="C2303" s="194"/>
      <c r="D2303" s="194"/>
      <c r="E2303" s="194"/>
      <c r="F2303" s="194"/>
      <c r="G2303" s="194"/>
      <c r="H2303" s="194"/>
      <c r="I2303" s="194"/>
      <c r="J2303" s="194"/>
      <c r="K2303" s="194"/>
      <c r="L2303" s="194"/>
    </row>
    <row r="2304" spans="1:12" x14ac:dyDescent="0.3">
      <c r="A2304" s="194"/>
      <c r="B2304" s="194"/>
      <c r="C2304" s="194"/>
      <c r="D2304" s="194"/>
      <c r="E2304" s="194"/>
      <c r="F2304" s="194"/>
      <c r="G2304" s="194"/>
      <c r="H2304" s="194"/>
      <c r="I2304" s="194"/>
      <c r="J2304" s="194"/>
      <c r="K2304" s="194"/>
      <c r="L2304" s="194"/>
    </row>
    <row r="2305" spans="1:12" x14ac:dyDescent="0.3">
      <c r="A2305" s="194"/>
      <c r="B2305" s="194"/>
      <c r="C2305" s="194"/>
      <c r="D2305" s="194"/>
      <c r="E2305" s="194"/>
      <c r="F2305" s="194"/>
      <c r="G2305" s="194"/>
      <c r="H2305" s="194"/>
      <c r="I2305" s="194"/>
      <c r="J2305" s="194"/>
      <c r="K2305" s="194"/>
      <c r="L2305" s="194"/>
    </row>
    <row r="2306" spans="1:12" x14ac:dyDescent="0.3">
      <c r="A2306" s="194"/>
      <c r="B2306" s="194"/>
      <c r="C2306" s="194"/>
      <c r="D2306" s="194"/>
      <c r="E2306" s="194"/>
      <c r="F2306" s="194"/>
      <c r="G2306" s="194"/>
      <c r="H2306" s="194"/>
      <c r="I2306" s="194"/>
      <c r="J2306" s="194"/>
      <c r="K2306" s="194"/>
      <c r="L2306" s="194"/>
    </row>
    <row r="2307" spans="1:12" x14ac:dyDescent="0.3">
      <c r="A2307" s="194"/>
      <c r="B2307" s="194"/>
      <c r="C2307" s="194"/>
      <c r="D2307" s="194"/>
      <c r="E2307" s="194"/>
      <c r="F2307" s="194"/>
      <c r="G2307" s="194"/>
      <c r="H2307" s="194"/>
      <c r="I2307" s="194"/>
      <c r="J2307" s="194"/>
      <c r="K2307" s="194"/>
      <c r="L2307" s="194"/>
    </row>
    <row r="2308" spans="1:12" x14ac:dyDescent="0.3">
      <c r="A2308" s="194"/>
      <c r="B2308" s="194"/>
      <c r="C2308" s="194"/>
      <c r="D2308" s="194"/>
      <c r="E2308" s="194"/>
      <c r="F2308" s="194"/>
      <c r="G2308" s="194"/>
      <c r="H2308" s="194"/>
      <c r="I2308" s="194"/>
      <c r="J2308" s="194"/>
      <c r="K2308" s="194"/>
      <c r="L2308" s="194"/>
    </row>
    <row r="2309" spans="1:12" x14ac:dyDescent="0.3">
      <c r="A2309" s="194"/>
      <c r="B2309" s="194"/>
      <c r="C2309" s="194"/>
      <c r="D2309" s="194"/>
      <c r="E2309" s="194"/>
      <c r="F2309" s="194"/>
      <c r="G2309" s="194"/>
      <c r="H2309" s="194"/>
      <c r="I2309" s="194"/>
      <c r="J2309" s="194"/>
      <c r="K2309" s="194"/>
      <c r="L2309" s="194"/>
    </row>
    <row r="2310" spans="1:12" x14ac:dyDescent="0.3">
      <c r="A2310" s="194"/>
      <c r="B2310" s="194"/>
      <c r="C2310" s="194"/>
      <c r="D2310" s="194"/>
      <c r="E2310" s="194"/>
      <c r="F2310" s="194"/>
      <c r="G2310" s="194"/>
      <c r="H2310" s="194"/>
      <c r="I2310" s="194"/>
      <c r="J2310" s="194"/>
      <c r="K2310" s="194"/>
      <c r="L2310" s="194"/>
    </row>
    <row r="2311" spans="1:12" x14ac:dyDescent="0.3">
      <c r="A2311" s="194"/>
      <c r="B2311" s="194"/>
      <c r="C2311" s="194"/>
      <c r="D2311" s="194"/>
      <c r="E2311" s="194"/>
      <c r="F2311" s="194"/>
      <c r="G2311" s="194"/>
      <c r="H2311" s="194"/>
      <c r="I2311" s="194"/>
      <c r="J2311" s="194"/>
      <c r="K2311" s="194"/>
      <c r="L2311" s="194"/>
    </row>
    <row r="2312" spans="1:12" x14ac:dyDescent="0.3">
      <c r="A2312" s="194"/>
      <c r="B2312" s="194"/>
      <c r="C2312" s="194"/>
      <c r="D2312" s="194"/>
      <c r="E2312" s="194"/>
      <c r="F2312" s="194"/>
      <c r="G2312" s="194"/>
      <c r="H2312" s="194"/>
      <c r="I2312" s="194"/>
      <c r="J2312" s="194"/>
      <c r="K2312" s="194"/>
      <c r="L2312" s="194"/>
    </row>
    <row r="2313" spans="1:12" x14ac:dyDescent="0.3">
      <c r="A2313" s="194"/>
      <c r="B2313" s="194"/>
      <c r="C2313" s="194"/>
      <c r="D2313" s="194"/>
      <c r="E2313" s="194"/>
      <c r="F2313" s="194"/>
      <c r="G2313" s="194"/>
      <c r="H2313" s="194"/>
      <c r="I2313" s="194"/>
      <c r="J2313" s="194"/>
      <c r="K2313" s="194"/>
      <c r="L2313" s="194"/>
    </row>
    <row r="2314" spans="1:12" x14ac:dyDescent="0.3">
      <c r="A2314" s="194"/>
      <c r="B2314" s="194"/>
      <c r="C2314" s="194"/>
      <c r="D2314" s="194"/>
      <c r="E2314" s="194"/>
      <c r="F2314" s="194"/>
      <c r="G2314" s="194"/>
      <c r="H2314" s="194"/>
      <c r="I2314" s="194"/>
      <c r="J2314" s="194"/>
      <c r="K2314" s="194"/>
      <c r="L2314" s="194"/>
    </row>
    <row r="2315" spans="1:12" x14ac:dyDescent="0.3">
      <c r="A2315" s="194"/>
      <c r="B2315" s="194"/>
      <c r="C2315" s="194"/>
      <c r="D2315" s="194"/>
      <c r="E2315" s="194"/>
      <c r="F2315" s="194"/>
      <c r="G2315" s="194"/>
      <c r="H2315" s="194"/>
      <c r="I2315" s="194"/>
      <c r="J2315" s="194"/>
      <c r="K2315" s="194"/>
      <c r="L2315" s="194"/>
    </row>
    <row r="2316" spans="1:12" x14ac:dyDescent="0.3">
      <c r="A2316" s="194"/>
      <c r="B2316" s="194"/>
      <c r="C2316" s="194"/>
      <c r="D2316" s="194"/>
      <c r="E2316" s="194"/>
      <c r="F2316" s="194"/>
      <c r="G2316" s="194"/>
      <c r="H2316" s="194"/>
      <c r="I2316" s="194"/>
      <c r="J2316" s="194"/>
      <c r="K2316" s="194"/>
      <c r="L2316" s="194"/>
    </row>
    <row r="2317" spans="1:12" x14ac:dyDescent="0.3">
      <c r="A2317" s="194"/>
      <c r="B2317" s="194"/>
      <c r="C2317" s="194"/>
      <c r="D2317" s="194"/>
      <c r="E2317" s="194"/>
      <c r="F2317" s="194"/>
      <c r="G2317" s="194"/>
      <c r="H2317" s="194"/>
      <c r="I2317" s="194"/>
      <c r="J2317" s="194"/>
      <c r="K2317" s="194"/>
      <c r="L2317" s="194"/>
    </row>
    <row r="2318" spans="1:12" x14ac:dyDescent="0.3">
      <c r="A2318" s="194"/>
      <c r="B2318" s="194"/>
      <c r="C2318" s="194"/>
      <c r="D2318" s="194"/>
      <c r="E2318" s="194"/>
      <c r="F2318" s="194"/>
      <c r="G2318" s="194"/>
      <c r="H2318" s="194"/>
      <c r="I2318" s="194"/>
      <c r="J2318" s="194"/>
      <c r="K2318" s="194"/>
      <c r="L2318" s="194"/>
    </row>
    <row r="2319" spans="1:12" x14ac:dyDescent="0.3">
      <c r="A2319" s="194"/>
      <c r="B2319" s="194"/>
      <c r="C2319" s="194"/>
      <c r="D2319" s="194"/>
      <c r="E2319" s="194"/>
      <c r="F2319" s="194"/>
      <c r="G2319" s="194"/>
      <c r="H2319" s="194"/>
      <c r="I2319" s="194"/>
      <c r="J2319" s="194"/>
      <c r="K2319" s="194"/>
      <c r="L2319" s="194"/>
    </row>
    <row r="2320" spans="1:12" x14ac:dyDescent="0.3">
      <c r="A2320" s="194"/>
      <c r="B2320" s="194"/>
      <c r="C2320" s="194"/>
      <c r="D2320" s="194"/>
      <c r="E2320" s="194"/>
      <c r="F2320" s="194"/>
      <c r="G2320" s="194"/>
      <c r="H2320" s="194"/>
      <c r="I2320" s="194"/>
      <c r="J2320" s="194"/>
      <c r="K2320" s="194"/>
      <c r="L2320" s="194"/>
    </row>
    <row r="2321" spans="1:12" x14ac:dyDescent="0.3">
      <c r="A2321" s="194"/>
      <c r="B2321" s="194"/>
      <c r="C2321" s="194"/>
      <c r="D2321" s="194"/>
      <c r="E2321" s="194"/>
      <c r="F2321" s="194"/>
      <c r="G2321" s="194"/>
      <c r="H2321" s="194"/>
      <c r="I2321" s="194"/>
      <c r="J2321" s="194"/>
      <c r="K2321" s="194"/>
      <c r="L2321" s="194"/>
    </row>
    <row r="2322" spans="1:12" x14ac:dyDescent="0.3">
      <c r="A2322" s="194"/>
      <c r="B2322" s="194"/>
      <c r="C2322" s="194"/>
      <c r="D2322" s="194"/>
      <c r="E2322" s="194"/>
      <c r="F2322" s="194"/>
      <c r="G2322" s="194"/>
      <c r="H2322" s="194"/>
      <c r="I2322" s="194"/>
      <c r="J2322" s="194"/>
      <c r="K2322" s="194"/>
      <c r="L2322" s="194"/>
    </row>
    <row r="2323" spans="1:12" x14ac:dyDescent="0.3">
      <c r="A2323" s="194"/>
      <c r="B2323" s="194"/>
      <c r="C2323" s="194"/>
      <c r="D2323" s="194"/>
      <c r="E2323" s="194"/>
      <c r="F2323" s="194"/>
      <c r="G2323" s="194"/>
      <c r="H2323" s="194"/>
      <c r="I2323" s="194"/>
      <c r="J2323" s="194"/>
      <c r="K2323" s="194"/>
      <c r="L2323" s="194"/>
    </row>
    <row r="2324" spans="1:12" x14ac:dyDescent="0.3">
      <c r="A2324" s="194"/>
      <c r="B2324" s="194"/>
      <c r="C2324" s="194"/>
      <c r="D2324" s="194"/>
      <c r="E2324" s="194"/>
      <c r="F2324" s="194"/>
      <c r="G2324" s="194"/>
      <c r="H2324" s="194"/>
      <c r="I2324" s="194"/>
      <c r="J2324" s="194"/>
      <c r="K2324" s="194"/>
      <c r="L2324" s="194"/>
    </row>
    <row r="2325" spans="1:12" x14ac:dyDescent="0.3">
      <c r="A2325" s="194"/>
      <c r="B2325" s="194"/>
      <c r="C2325" s="194"/>
      <c r="D2325" s="194"/>
      <c r="E2325" s="194"/>
      <c r="F2325" s="194"/>
      <c r="G2325" s="194"/>
      <c r="H2325" s="194"/>
      <c r="I2325" s="194"/>
      <c r="J2325" s="194"/>
      <c r="K2325" s="194"/>
      <c r="L2325" s="194"/>
    </row>
    <row r="2326" spans="1:12" x14ac:dyDescent="0.3">
      <c r="A2326" s="194"/>
      <c r="B2326" s="194"/>
      <c r="C2326" s="194"/>
      <c r="D2326" s="194"/>
      <c r="E2326" s="194"/>
      <c r="F2326" s="194"/>
      <c r="G2326" s="194"/>
      <c r="H2326" s="194"/>
      <c r="I2326" s="194"/>
      <c r="J2326" s="194"/>
      <c r="K2326" s="194"/>
      <c r="L2326" s="194"/>
    </row>
    <row r="2327" spans="1:12" x14ac:dyDescent="0.3">
      <c r="A2327" s="194"/>
      <c r="B2327" s="194"/>
      <c r="C2327" s="194"/>
      <c r="D2327" s="194"/>
      <c r="E2327" s="194"/>
      <c r="F2327" s="194"/>
      <c r="G2327" s="194"/>
      <c r="H2327" s="194"/>
      <c r="I2327" s="194"/>
      <c r="J2327" s="194"/>
      <c r="K2327" s="194"/>
      <c r="L2327" s="194"/>
    </row>
    <row r="2328" spans="1:12" x14ac:dyDescent="0.3">
      <c r="A2328" s="194"/>
      <c r="B2328" s="194"/>
      <c r="C2328" s="194"/>
      <c r="D2328" s="194"/>
      <c r="E2328" s="194"/>
      <c r="F2328" s="194"/>
      <c r="G2328" s="194"/>
      <c r="H2328" s="194"/>
      <c r="I2328" s="194"/>
      <c r="J2328" s="194"/>
      <c r="K2328" s="194"/>
      <c r="L2328" s="194"/>
    </row>
    <row r="2329" spans="1:12" x14ac:dyDescent="0.3">
      <c r="A2329" s="194"/>
      <c r="B2329" s="194"/>
      <c r="C2329" s="194"/>
      <c r="D2329" s="194"/>
      <c r="E2329" s="194"/>
      <c r="F2329" s="194"/>
      <c r="G2329" s="194"/>
      <c r="H2329" s="194"/>
      <c r="I2329" s="194"/>
      <c r="J2329" s="194"/>
      <c r="K2329" s="194"/>
      <c r="L2329" s="194"/>
    </row>
    <row r="2330" spans="1:12" x14ac:dyDescent="0.3">
      <c r="A2330" s="194"/>
      <c r="B2330" s="194"/>
      <c r="C2330" s="194"/>
      <c r="D2330" s="194"/>
      <c r="E2330" s="194"/>
      <c r="F2330" s="194"/>
      <c r="G2330" s="194"/>
      <c r="H2330" s="194"/>
      <c r="I2330" s="194"/>
      <c r="J2330" s="194"/>
      <c r="K2330" s="194"/>
      <c r="L2330" s="194"/>
    </row>
    <row r="2331" spans="1:12" x14ac:dyDescent="0.3">
      <c r="A2331" s="194"/>
      <c r="B2331" s="194"/>
      <c r="C2331" s="194"/>
      <c r="D2331" s="194"/>
      <c r="E2331" s="194"/>
      <c r="F2331" s="194"/>
      <c r="G2331" s="194"/>
      <c r="H2331" s="194"/>
      <c r="I2331" s="194"/>
      <c r="J2331" s="194"/>
      <c r="K2331" s="194"/>
      <c r="L2331" s="194"/>
    </row>
    <row r="2332" spans="1:12" x14ac:dyDescent="0.3">
      <c r="A2332" s="194"/>
      <c r="B2332" s="194"/>
      <c r="C2332" s="194"/>
      <c r="D2332" s="194"/>
      <c r="E2332" s="194"/>
      <c r="F2332" s="194"/>
      <c r="G2332" s="194"/>
      <c r="H2332" s="194"/>
      <c r="I2332" s="194"/>
      <c r="J2332" s="194"/>
      <c r="K2332" s="194"/>
      <c r="L2332" s="194"/>
    </row>
    <row r="2333" spans="1:12" x14ac:dyDescent="0.3">
      <c r="A2333" s="194"/>
      <c r="B2333" s="194"/>
      <c r="C2333" s="194"/>
      <c r="D2333" s="194"/>
      <c r="E2333" s="194"/>
      <c r="F2333" s="194"/>
      <c r="G2333" s="194"/>
      <c r="H2333" s="194"/>
      <c r="I2333" s="194"/>
      <c r="J2333" s="194"/>
      <c r="K2333" s="194"/>
      <c r="L2333" s="194"/>
    </row>
    <row r="2334" spans="1:12" x14ac:dyDescent="0.3">
      <c r="A2334" s="194"/>
      <c r="B2334" s="194"/>
      <c r="C2334" s="194"/>
      <c r="D2334" s="194"/>
      <c r="E2334" s="194"/>
      <c r="F2334" s="194"/>
      <c r="G2334" s="194"/>
      <c r="H2334" s="194"/>
      <c r="I2334" s="194"/>
      <c r="J2334" s="194"/>
      <c r="K2334" s="194"/>
      <c r="L2334" s="194"/>
    </row>
    <row r="2335" spans="1:12" x14ac:dyDescent="0.3">
      <c r="A2335" s="194"/>
      <c r="B2335" s="194"/>
      <c r="C2335" s="194"/>
      <c r="D2335" s="194"/>
      <c r="E2335" s="194"/>
      <c r="F2335" s="194"/>
      <c r="G2335" s="194"/>
      <c r="H2335" s="194"/>
      <c r="I2335" s="194"/>
      <c r="J2335" s="194"/>
      <c r="K2335" s="194"/>
      <c r="L2335" s="194"/>
    </row>
    <row r="2336" spans="1:12" x14ac:dyDescent="0.3">
      <c r="A2336" s="194"/>
      <c r="B2336" s="194"/>
      <c r="C2336" s="194"/>
      <c r="D2336" s="194"/>
      <c r="E2336" s="194"/>
      <c r="F2336" s="194"/>
      <c r="G2336" s="194"/>
      <c r="H2336" s="194"/>
      <c r="I2336" s="194"/>
      <c r="J2336" s="194"/>
      <c r="K2336" s="194"/>
      <c r="L2336" s="194"/>
    </row>
    <row r="2337" spans="1:12" x14ac:dyDescent="0.3">
      <c r="A2337" s="194"/>
      <c r="B2337" s="194"/>
      <c r="C2337" s="194"/>
      <c r="D2337" s="194"/>
      <c r="E2337" s="194"/>
      <c r="F2337" s="194"/>
      <c r="G2337" s="194"/>
      <c r="H2337" s="194"/>
      <c r="I2337" s="194"/>
      <c r="J2337" s="194"/>
      <c r="K2337" s="194"/>
      <c r="L2337" s="194"/>
    </row>
    <row r="2338" spans="1:12" x14ac:dyDescent="0.3">
      <c r="A2338" s="194"/>
      <c r="B2338" s="194"/>
      <c r="C2338" s="194"/>
      <c r="D2338" s="194"/>
      <c r="E2338" s="194"/>
      <c r="F2338" s="194"/>
      <c r="G2338" s="194"/>
      <c r="H2338" s="194"/>
      <c r="I2338" s="194"/>
      <c r="J2338" s="194"/>
      <c r="K2338" s="194"/>
      <c r="L2338" s="194"/>
    </row>
    <row r="2339" spans="1:12" x14ac:dyDescent="0.3">
      <c r="A2339" s="194"/>
      <c r="B2339" s="194"/>
      <c r="C2339" s="194"/>
      <c r="D2339" s="194"/>
      <c r="E2339" s="194"/>
      <c r="F2339" s="194"/>
      <c r="G2339" s="194"/>
      <c r="H2339" s="194"/>
      <c r="I2339" s="194"/>
      <c r="J2339" s="194"/>
      <c r="K2339" s="194"/>
      <c r="L2339" s="194"/>
    </row>
    <row r="2340" spans="1:12" x14ac:dyDescent="0.3">
      <c r="A2340" s="194"/>
      <c r="B2340" s="194"/>
      <c r="C2340" s="194"/>
      <c r="D2340" s="194"/>
      <c r="E2340" s="194"/>
      <c r="F2340" s="194"/>
      <c r="G2340" s="194"/>
      <c r="H2340" s="194"/>
      <c r="I2340" s="194"/>
      <c r="J2340" s="194"/>
      <c r="K2340" s="194"/>
      <c r="L2340" s="194"/>
    </row>
    <row r="2341" spans="1:12" x14ac:dyDescent="0.3">
      <c r="A2341" s="194"/>
      <c r="B2341" s="194"/>
      <c r="C2341" s="194"/>
      <c r="D2341" s="194"/>
      <c r="E2341" s="194"/>
      <c r="F2341" s="194"/>
      <c r="G2341" s="194"/>
      <c r="H2341" s="194"/>
      <c r="I2341" s="194"/>
      <c r="J2341" s="194"/>
      <c r="K2341" s="194"/>
      <c r="L2341" s="194"/>
    </row>
    <row r="2342" spans="1:12" x14ac:dyDescent="0.3">
      <c r="A2342" s="194"/>
      <c r="B2342" s="194"/>
      <c r="C2342" s="194"/>
      <c r="D2342" s="194"/>
      <c r="E2342" s="194"/>
      <c r="F2342" s="194"/>
      <c r="G2342" s="194"/>
      <c r="H2342" s="194"/>
      <c r="I2342" s="194"/>
      <c r="J2342" s="194"/>
      <c r="K2342" s="194"/>
      <c r="L2342" s="194"/>
    </row>
    <row r="2343" spans="1:12" x14ac:dyDescent="0.3">
      <c r="A2343" s="194"/>
      <c r="B2343" s="194"/>
      <c r="C2343" s="194"/>
      <c r="D2343" s="194"/>
      <c r="E2343" s="194"/>
      <c r="F2343" s="194"/>
      <c r="G2343" s="194"/>
      <c r="H2343" s="194"/>
      <c r="I2343" s="194"/>
      <c r="J2343" s="194"/>
      <c r="K2343" s="194"/>
      <c r="L2343" s="194"/>
    </row>
    <row r="2344" spans="1:12" x14ac:dyDescent="0.3">
      <c r="A2344" s="194"/>
      <c r="B2344" s="194"/>
      <c r="C2344" s="194"/>
      <c r="D2344" s="194"/>
      <c r="E2344" s="194"/>
      <c r="F2344" s="194"/>
      <c r="G2344" s="194"/>
      <c r="H2344" s="194"/>
      <c r="I2344" s="194"/>
      <c r="J2344" s="194"/>
      <c r="K2344" s="194"/>
      <c r="L2344" s="194"/>
    </row>
    <row r="2345" spans="1:12" x14ac:dyDescent="0.3">
      <c r="A2345" s="194"/>
      <c r="B2345" s="194"/>
      <c r="C2345" s="194"/>
      <c r="D2345" s="194"/>
      <c r="E2345" s="194"/>
      <c r="F2345" s="194"/>
      <c r="G2345" s="194"/>
      <c r="H2345" s="194"/>
      <c r="I2345" s="194"/>
      <c r="J2345" s="194"/>
      <c r="K2345" s="194"/>
      <c r="L2345" s="194"/>
    </row>
    <row r="2346" spans="1:12" x14ac:dyDescent="0.3">
      <c r="A2346" s="194"/>
      <c r="B2346" s="194"/>
      <c r="C2346" s="194"/>
      <c r="D2346" s="194"/>
      <c r="E2346" s="194"/>
      <c r="F2346" s="194"/>
      <c r="G2346" s="194"/>
      <c r="H2346" s="194"/>
      <c r="I2346" s="194"/>
      <c r="J2346" s="194"/>
      <c r="K2346" s="194"/>
      <c r="L2346" s="194"/>
    </row>
    <row r="2347" spans="1:12" x14ac:dyDescent="0.3">
      <c r="A2347" s="194"/>
      <c r="B2347" s="194"/>
      <c r="C2347" s="194"/>
      <c r="D2347" s="194"/>
      <c r="E2347" s="194"/>
      <c r="F2347" s="194"/>
      <c r="G2347" s="194"/>
      <c r="H2347" s="194"/>
      <c r="I2347" s="194"/>
      <c r="J2347" s="194"/>
      <c r="K2347" s="194"/>
      <c r="L2347" s="194"/>
    </row>
    <row r="2348" spans="1:12" x14ac:dyDescent="0.3">
      <c r="A2348" s="194"/>
      <c r="B2348" s="194"/>
      <c r="C2348" s="194"/>
      <c r="D2348" s="194"/>
      <c r="E2348" s="194"/>
      <c r="F2348" s="194"/>
      <c r="G2348" s="194"/>
      <c r="H2348" s="194"/>
      <c r="I2348" s="194"/>
      <c r="J2348" s="194"/>
      <c r="K2348" s="194"/>
      <c r="L2348" s="194"/>
    </row>
    <row r="2349" spans="1:12" x14ac:dyDescent="0.3">
      <c r="A2349" s="194"/>
      <c r="B2349" s="194"/>
      <c r="C2349" s="194"/>
      <c r="D2349" s="194"/>
      <c r="E2349" s="194"/>
      <c r="F2349" s="194"/>
      <c r="G2349" s="194"/>
      <c r="H2349" s="194"/>
      <c r="I2349" s="194"/>
      <c r="J2349" s="194"/>
      <c r="K2349" s="194"/>
      <c r="L2349" s="194"/>
    </row>
    <row r="2350" spans="1:12" x14ac:dyDescent="0.3">
      <c r="A2350" s="194"/>
      <c r="B2350" s="194"/>
      <c r="C2350" s="194"/>
      <c r="D2350" s="194"/>
      <c r="E2350" s="194"/>
      <c r="F2350" s="194"/>
      <c r="G2350" s="194"/>
      <c r="H2350" s="194"/>
      <c r="I2350" s="194"/>
      <c r="J2350" s="194"/>
      <c r="K2350" s="194"/>
      <c r="L2350" s="194"/>
    </row>
    <row r="2351" spans="1:12" x14ac:dyDescent="0.3">
      <c r="A2351" s="194"/>
      <c r="B2351" s="194"/>
      <c r="C2351" s="194"/>
      <c r="D2351" s="194"/>
      <c r="E2351" s="194"/>
      <c r="F2351" s="194"/>
      <c r="G2351" s="194"/>
      <c r="H2351" s="194"/>
      <c r="I2351" s="194"/>
      <c r="J2351" s="194"/>
      <c r="K2351" s="194"/>
      <c r="L2351" s="194"/>
    </row>
    <row r="2352" spans="1:12" x14ac:dyDescent="0.3">
      <c r="A2352" s="194"/>
      <c r="B2352" s="194"/>
      <c r="C2352" s="194"/>
      <c r="D2352" s="194"/>
      <c r="E2352" s="194"/>
      <c r="F2352" s="194"/>
      <c r="G2352" s="194"/>
      <c r="H2352" s="194"/>
      <c r="I2352" s="194"/>
      <c r="J2352" s="194"/>
      <c r="K2352" s="194"/>
      <c r="L2352" s="194"/>
    </row>
    <row r="2353" spans="1:12" x14ac:dyDescent="0.3">
      <c r="A2353" s="194"/>
      <c r="B2353" s="194"/>
      <c r="C2353" s="194"/>
      <c r="D2353" s="194"/>
      <c r="E2353" s="194"/>
      <c r="F2353" s="194"/>
      <c r="G2353" s="194"/>
      <c r="H2353" s="194"/>
      <c r="I2353" s="194"/>
      <c r="J2353" s="194"/>
      <c r="K2353" s="194"/>
      <c r="L2353" s="194"/>
    </row>
    <row r="2354" spans="1:12" x14ac:dyDescent="0.3">
      <c r="A2354" s="194"/>
      <c r="B2354" s="194"/>
      <c r="C2354" s="194"/>
      <c r="D2354" s="194"/>
      <c r="E2354" s="194"/>
      <c r="F2354" s="194"/>
      <c r="G2354" s="194"/>
      <c r="H2354" s="194"/>
      <c r="I2354" s="194"/>
      <c r="J2354" s="194"/>
      <c r="K2354" s="194"/>
      <c r="L2354" s="194"/>
    </row>
    <row r="2355" spans="1:12" x14ac:dyDescent="0.3">
      <c r="A2355" s="194"/>
      <c r="B2355" s="194"/>
      <c r="C2355" s="194"/>
      <c r="D2355" s="194"/>
      <c r="E2355" s="194"/>
      <c r="F2355" s="194"/>
      <c r="G2355" s="194"/>
      <c r="H2355" s="194"/>
      <c r="I2355" s="194"/>
      <c r="J2355" s="194"/>
      <c r="K2355" s="194"/>
      <c r="L2355" s="194"/>
    </row>
    <row r="2356" spans="1:12" x14ac:dyDescent="0.3">
      <c r="A2356" s="194"/>
      <c r="B2356" s="194"/>
      <c r="C2356" s="194"/>
      <c r="D2356" s="194"/>
      <c r="E2356" s="194"/>
      <c r="F2356" s="194"/>
      <c r="G2356" s="194"/>
      <c r="H2356" s="194"/>
      <c r="I2356" s="194"/>
      <c r="J2356" s="194"/>
      <c r="K2356" s="194"/>
      <c r="L2356" s="194"/>
    </row>
    <row r="2357" spans="1:12" x14ac:dyDescent="0.3">
      <c r="A2357" s="194"/>
      <c r="B2357" s="194"/>
      <c r="C2357" s="194"/>
      <c r="D2357" s="194"/>
      <c r="E2357" s="194"/>
      <c r="F2357" s="194"/>
      <c r="G2357" s="194"/>
      <c r="H2357" s="194"/>
      <c r="I2357" s="194"/>
      <c r="J2357" s="194"/>
      <c r="K2357" s="194"/>
      <c r="L2357" s="194"/>
    </row>
    <row r="2358" spans="1:12" x14ac:dyDescent="0.3">
      <c r="A2358" s="194"/>
      <c r="B2358" s="194"/>
      <c r="C2358" s="194"/>
      <c r="D2358" s="194"/>
      <c r="E2358" s="194"/>
      <c r="F2358" s="194"/>
      <c r="G2358" s="194"/>
      <c r="H2358" s="194"/>
      <c r="I2358" s="194"/>
      <c r="J2358" s="194"/>
      <c r="K2358" s="194"/>
      <c r="L2358" s="194"/>
    </row>
    <row r="2359" spans="1:12" x14ac:dyDescent="0.3">
      <c r="A2359" s="194"/>
      <c r="B2359" s="194"/>
      <c r="C2359" s="194"/>
      <c r="D2359" s="194"/>
      <c r="E2359" s="194"/>
      <c r="F2359" s="194"/>
      <c r="G2359" s="194"/>
      <c r="H2359" s="194"/>
      <c r="I2359" s="194"/>
      <c r="J2359" s="194"/>
      <c r="K2359" s="194"/>
      <c r="L2359" s="194"/>
    </row>
    <row r="2360" spans="1:12" x14ac:dyDescent="0.3">
      <c r="A2360" s="194"/>
      <c r="B2360" s="194"/>
      <c r="C2360" s="194"/>
      <c r="D2360" s="194"/>
      <c r="E2360" s="194"/>
      <c r="F2360" s="194"/>
      <c r="G2360" s="194"/>
      <c r="H2360" s="194"/>
      <c r="I2360" s="194"/>
      <c r="J2360" s="194"/>
      <c r="K2360" s="194"/>
      <c r="L2360" s="194"/>
    </row>
    <row r="2361" spans="1:12" x14ac:dyDescent="0.3">
      <c r="A2361" s="194"/>
      <c r="B2361" s="194"/>
      <c r="C2361" s="194"/>
      <c r="D2361" s="194"/>
      <c r="E2361" s="194"/>
      <c r="F2361" s="194"/>
      <c r="G2361" s="194"/>
      <c r="H2361" s="194"/>
      <c r="I2361" s="194"/>
      <c r="J2361" s="194"/>
      <c r="K2361" s="194"/>
      <c r="L2361" s="194"/>
    </row>
    <row r="2362" spans="1:12" x14ac:dyDescent="0.3">
      <c r="A2362" s="194"/>
      <c r="B2362" s="194"/>
      <c r="C2362" s="194"/>
      <c r="D2362" s="194"/>
      <c r="E2362" s="194"/>
      <c r="F2362" s="194"/>
      <c r="G2362" s="194"/>
      <c r="H2362" s="194"/>
      <c r="I2362" s="194"/>
      <c r="J2362" s="194"/>
      <c r="K2362" s="194"/>
      <c r="L2362" s="194"/>
    </row>
    <row r="2363" spans="1:12" x14ac:dyDescent="0.3">
      <c r="A2363" s="194"/>
      <c r="B2363" s="194"/>
      <c r="C2363" s="194"/>
      <c r="D2363" s="194"/>
      <c r="E2363" s="194"/>
      <c r="F2363" s="194"/>
      <c r="G2363" s="194"/>
      <c r="H2363" s="194"/>
      <c r="I2363" s="194"/>
      <c r="J2363" s="194"/>
      <c r="K2363" s="194"/>
      <c r="L2363" s="194"/>
    </row>
    <row r="2364" spans="1:12" x14ac:dyDescent="0.3">
      <c r="A2364" s="194"/>
      <c r="B2364" s="194"/>
      <c r="C2364" s="194"/>
      <c r="D2364" s="194"/>
      <c r="E2364" s="194"/>
      <c r="F2364" s="194"/>
      <c r="G2364" s="194"/>
      <c r="H2364" s="194"/>
      <c r="I2364" s="194"/>
      <c r="J2364" s="194"/>
      <c r="K2364" s="194"/>
      <c r="L2364" s="194"/>
    </row>
    <row r="2365" spans="1:12" x14ac:dyDescent="0.3">
      <c r="A2365" s="194"/>
      <c r="B2365" s="194"/>
      <c r="C2365" s="194"/>
      <c r="D2365" s="194"/>
      <c r="E2365" s="194"/>
      <c r="F2365" s="194"/>
      <c r="G2365" s="194"/>
      <c r="H2365" s="194"/>
      <c r="I2365" s="194"/>
      <c r="J2365" s="194"/>
      <c r="K2365" s="194"/>
      <c r="L2365" s="194"/>
    </row>
    <row r="2366" spans="1:12" x14ac:dyDescent="0.3">
      <c r="A2366" s="194"/>
      <c r="B2366" s="194"/>
      <c r="C2366" s="194"/>
      <c r="D2366" s="194"/>
      <c r="E2366" s="194"/>
      <c r="F2366" s="194"/>
      <c r="G2366" s="194"/>
      <c r="H2366" s="194"/>
      <c r="I2366" s="194"/>
      <c r="J2366" s="194"/>
      <c r="K2366" s="194"/>
      <c r="L2366" s="194"/>
    </row>
    <row r="2367" spans="1:12" x14ac:dyDescent="0.3">
      <c r="A2367" s="194"/>
      <c r="B2367" s="194"/>
      <c r="C2367" s="194"/>
      <c r="D2367" s="194"/>
      <c r="E2367" s="194"/>
      <c r="F2367" s="194"/>
      <c r="G2367" s="194"/>
      <c r="H2367" s="194"/>
      <c r="I2367" s="194"/>
      <c r="J2367" s="194"/>
      <c r="K2367" s="194"/>
      <c r="L2367" s="194"/>
    </row>
    <row r="2368" spans="1:12" x14ac:dyDescent="0.3">
      <c r="A2368" s="194"/>
      <c r="B2368" s="194"/>
      <c r="C2368" s="194"/>
      <c r="D2368" s="194"/>
      <c r="E2368" s="194"/>
      <c r="F2368" s="194"/>
      <c r="G2368" s="194"/>
      <c r="H2368" s="194"/>
      <c r="I2368" s="194"/>
      <c r="J2368" s="194"/>
      <c r="K2368" s="194"/>
      <c r="L2368" s="194"/>
    </row>
    <row r="2369" spans="1:12" x14ac:dyDescent="0.3">
      <c r="A2369" s="194"/>
      <c r="B2369" s="194"/>
      <c r="C2369" s="194"/>
      <c r="D2369" s="194"/>
      <c r="E2369" s="194"/>
      <c r="F2369" s="194"/>
      <c r="G2369" s="194"/>
      <c r="H2369" s="194"/>
      <c r="I2369" s="194"/>
      <c r="J2369" s="194"/>
      <c r="K2369" s="194"/>
      <c r="L2369" s="194"/>
    </row>
    <row r="2370" spans="1:12" x14ac:dyDescent="0.3">
      <c r="A2370" s="194"/>
      <c r="B2370" s="194"/>
      <c r="C2370" s="194"/>
      <c r="D2370" s="194"/>
      <c r="E2370" s="194"/>
      <c r="F2370" s="194"/>
      <c r="G2370" s="194"/>
      <c r="H2370" s="194"/>
      <c r="I2370" s="194"/>
      <c r="J2370" s="194"/>
      <c r="K2370" s="194"/>
      <c r="L2370" s="194"/>
    </row>
    <row r="2371" spans="1:12" x14ac:dyDescent="0.3">
      <c r="A2371" s="194"/>
      <c r="B2371" s="194"/>
      <c r="C2371" s="194"/>
      <c r="D2371" s="194"/>
      <c r="E2371" s="194"/>
      <c r="F2371" s="194"/>
      <c r="G2371" s="194"/>
      <c r="H2371" s="194"/>
      <c r="I2371" s="194"/>
      <c r="J2371" s="194"/>
      <c r="K2371" s="194"/>
      <c r="L2371" s="194"/>
    </row>
    <row r="2372" spans="1:12" x14ac:dyDescent="0.3">
      <c r="A2372" s="194"/>
      <c r="B2372" s="194"/>
      <c r="C2372" s="194"/>
      <c r="D2372" s="194"/>
      <c r="E2372" s="194"/>
      <c r="F2372" s="194"/>
      <c r="G2372" s="194"/>
      <c r="H2372" s="194"/>
      <c r="I2372" s="194"/>
      <c r="J2372" s="194"/>
      <c r="K2372" s="194"/>
      <c r="L2372" s="194"/>
    </row>
    <row r="2373" spans="1:12" x14ac:dyDescent="0.3">
      <c r="A2373" s="194"/>
      <c r="B2373" s="194"/>
      <c r="C2373" s="194"/>
      <c r="D2373" s="194"/>
      <c r="E2373" s="194"/>
      <c r="F2373" s="194"/>
      <c r="G2373" s="194"/>
      <c r="H2373" s="194"/>
      <c r="I2373" s="194"/>
      <c r="J2373" s="194"/>
      <c r="K2373" s="194"/>
      <c r="L2373" s="194"/>
    </row>
    <row r="2374" spans="1:12" x14ac:dyDescent="0.3">
      <c r="A2374" s="194"/>
      <c r="B2374" s="194"/>
      <c r="C2374" s="194"/>
      <c r="D2374" s="194"/>
      <c r="E2374" s="194"/>
      <c r="F2374" s="194"/>
      <c r="G2374" s="194"/>
      <c r="H2374" s="194"/>
      <c r="I2374" s="194"/>
      <c r="J2374" s="194"/>
      <c r="K2374" s="194"/>
      <c r="L2374" s="194"/>
    </row>
    <row r="2375" spans="1:12" x14ac:dyDescent="0.3">
      <c r="A2375" s="194"/>
      <c r="B2375" s="194"/>
      <c r="C2375" s="194"/>
      <c r="D2375" s="194"/>
      <c r="E2375" s="194"/>
      <c r="F2375" s="194"/>
      <c r="G2375" s="194"/>
      <c r="H2375" s="194"/>
      <c r="I2375" s="194"/>
      <c r="J2375" s="194"/>
      <c r="K2375" s="194"/>
      <c r="L2375" s="194"/>
    </row>
    <row r="2376" spans="1:12" x14ac:dyDescent="0.3">
      <c r="A2376" s="194"/>
      <c r="B2376" s="194"/>
      <c r="C2376" s="194"/>
      <c r="D2376" s="194"/>
      <c r="E2376" s="194"/>
      <c r="F2376" s="194"/>
      <c r="G2376" s="194"/>
      <c r="H2376" s="194"/>
      <c r="I2376" s="194"/>
      <c r="J2376" s="194"/>
      <c r="K2376" s="194"/>
      <c r="L2376" s="194"/>
    </row>
    <row r="2377" spans="1:12" x14ac:dyDescent="0.3">
      <c r="A2377" s="194"/>
      <c r="B2377" s="194"/>
      <c r="C2377" s="194"/>
      <c r="D2377" s="194"/>
      <c r="E2377" s="194"/>
      <c r="F2377" s="194"/>
      <c r="G2377" s="194"/>
      <c r="H2377" s="194"/>
      <c r="I2377" s="194"/>
      <c r="J2377" s="194"/>
      <c r="K2377" s="194"/>
      <c r="L2377" s="194"/>
    </row>
    <row r="2378" spans="1:12" x14ac:dyDescent="0.3">
      <c r="A2378" s="194"/>
      <c r="B2378" s="194"/>
      <c r="C2378" s="194"/>
      <c r="D2378" s="194"/>
      <c r="E2378" s="194"/>
      <c r="F2378" s="194"/>
      <c r="G2378" s="194"/>
      <c r="H2378" s="194"/>
      <c r="I2378" s="194"/>
      <c r="J2378" s="194"/>
      <c r="K2378" s="194"/>
      <c r="L2378" s="194"/>
    </row>
    <row r="2379" spans="1:12" x14ac:dyDescent="0.3">
      <c r="A2379" s="194"/>
      <c r="B2379" s="194"/>
      <c r="C2379" s="194"/>
      <c r="D2379" s="194"/>
      <c r="E2379" s="194"/>
      <c r="F2379" s="194"/>
      <c r="G2379" s="194"/>
      <c r="H2379" s="194"/>
      <c r="I2379" s="194"/>
      <c r="J2379" s="194"/>
      <c r="K2379" s="194"/>
      <c r="L2379" s="194"/>
    </row>
    <row r="2380" spans="1:12" x14ac:dyDescent="0.3">
      <c r="A2380" s="194"/>
      <c r="B2380" s="194"/>
      <c r="C2380" s="194"/>
      <c r="D2380" s="194"/>
      <c r="E2380" s="194"/>
      <c r="F2380" s="194"/>
      <c r="G2380" s="194"/>
      <c r="H2380" s="194"/>
      <c r="I2380" s="194"/>
      <c r="J2380" s="194"/>
      <c r="K2380" s="194"/>
      <c r="L2380" s="194"/>
    </row>
    <row r="2381" spans="1:12" x14ac:dyDescent="0.3">
      <c r="A2381" s="194"/>
      <c r="B2381" s="194"/>
      <c r="C2381" s="194"/>
      <c r="D2381" s="194"/>
      <c r="E2381" s="194"/>
      <c r="F2381" s="194"/>
      <c r="G2381" s="194"/>
      <c r="H2381" s="194"/>
      <c r="I2381" s="194"/>
      <c r="J2381" s="194"/>
      <c r="K2381" s="194"/>
      <c r="L2381" s="194"/>
    </row>
    <row r="2382" spans="1:12" x14ac:dyDescent="0.3">
      <c r="A2382" s="194"/>
      <c r="B2382" s="194"/>
      <c r="C2382" s="194"/>
      <c r="D2382" s="194"/>
      <c r="E2382" s="194"/>
      <c r="F2382" s="194"/>
      <c r="G2382" s="194"/>
      <c r="H2382" s="194"/>
      <c r="I2382" s="194"/>
      <c r="J2382" s="194"/>
      <c r="K2382" s="194"/>
      <c r="L2382" s="194"/>
    </row>
    <row r="2383" spans="1:12" x14ac:dyDescent="0.3">
      <c r="A2383" s="194"/>
      <c r="B2383" s="194"/>
      <c r="C2383" s="194"/>
      <c r="D2383" s="194"/>
      <c r="E2383" s="194"/>
      <c r="F2383" s="194"/>
      <c r="G2383" s="194"/>
      <c r="H2383" s="194"/>
      <c r="I2383" s="194"/>
      <c r="J2383" s="194"/>
      <c r="K2383" s="194"/>
      <c r="L2383" s="194"/>
    </row>
    <row r="2384" spans="1:12" x14ac:dyDescent="0.3">
      <c r="A2384" s="194"/>
      <c r="B2384" s="194"/>
      <c r="C2384" s="194"/>
      <c r="D2384" s="194"/>
      <c r="E2384" s="194"/>
      <c r="F2384" s="194"/>
      <c r="G2384" s="194"/>
      <c r="H2384" s="194"/>
      <c r="I2384" s="194"/>
      <c r="J2384" s="194"/>
      <c r="K2384" s="194"/>
      <c r="L2384" s="194"/>
    </row>
    <row r="2385" spans="1:12" x14ac:dyDescent="0.3">
      <c r="A2385" s="194"/>
      <c r="B2385" s="194"/>
      <c r="C2385" s="194"/>
      <c r="D2385" s="194"/>
      <c r="E2385" s="194"/>
      <c r="F2385" s="194"/>
      <c r="G2385" s="194"/>
      <c r="H2385" s="194"/>
      <c r="I2385" s="194"/>
      <c r="J2385" s="194"/>
      <c r="K2385" s="194"/>
      <c r="L2385" s="194"/>
    </row>
    <row r="2386" spans="1:12" x14ac:dyDescent="0.3">
      <c r="A2386" s="194"/>
      <c r="B2386" s="194"/>
      <c r="C2386" s="194"/>
      <c r="D2386" s="194"/>
      <c r="E2386" s="194"/>
      <c r="F2386" s="194"/>
      <c r="G2386" s="194"/>
      <c r="H2386" s="194"/>
      <c r="I2386" s="194"/>
      <c r="J2386" s="194"/>
      <c r="K2386" s="194"/>
      <c r="L2386" s="194"/>
    </row>
    <row r="2387" spans="1:12" x14ac:dyDescent="0.3">
      <c r="A2387" s="194"/>
      <c r="B2387" s="194"/>
      <c r="C2387" s="194"/>
      <c r="D2387" s="194"/>
      <c r="E2387" s="194"/>
      <c r="F2387" s="194"/>
      <c r="G2387" s="194"/>
      <c r="H2387" s="194"/>
      <c r="I2387" s="194"/>
      <c r="J2387" s="194"/>
      <c r="K2387" s="194"/>
      <c r="L2387" s="194"/>
    </row>
    <row r="2388" spans="1:12" x14ac:dyDescent="0.3">
      <c r="A2388" s="194"/>
      <c r="B2388" s="194"/>
      <c r="C2388" s="194"/>
      <c r="D2388" s="194"/>
      <c r="E2388" s="194"/>
      <c r="F2388" s="194"/>
      <c r="G2388" s="194"/>
      <c r="H2388" s="194"/>
      <c r="I2388" s="194"/>
      <c r="J2388" s="194"/>
      <c r="K2388" s="194"/>
      <c r="L2388" s="194"/>
    </row>
    <row r="2389" spans="1:12" x14ac:dyDescent="0.3">
      <c r="A2389" s="194"/>
      <c r="B2389" s="194"/>
      <c r="C2389" s="194"/>
      <c r="D2389" s="194"/>
      <c r="E2389" s="194"/>
      <c r="F2389" s="194"/>
      <c r="G2389" s="194"/>
      <c r="H2389" s="194"/>
      <c r="I2389" s="194"/>
      <c r="J2389" s="194"/>
      <c r="K2389" s="194"/>
      <c r="L2389" s="194"/>
    </row>
    <row r="2390" spans="1:12" x14ac:dyDescent="0.3">
      <c r="A2390" s="194"/>
      <c r="B2390" s="194"/>
      <c r="C2390" s="194"/>
      <c r="D2390" s="194"/>
      <c r="E2390" s="194"/>
      <c r="F2390" s="194"/>
      <c r="G2390" s="194"/>
      <c r="H2390" s="194"/>
      <c r="I2390" s="194"/>
      <c r="J2390" s="194"/>
      <c r="K2390" s="194"/>
      <c r="L2390" s="194"/>
    </row>
    <row r="2391" spans="1:12" x14ac:dyDescent="0.3">
      <c r="A2391" s="194"/>
      <c r="B2391" s="194"/>
      <c r="C2391" s="194"/>
      <c r="D2391" s="194"/>
      <c r="E2391" s="194"/>
      <c r="F2391" s="194"/>
      <c r="G2391" s="194"/>
      <c r="H2391" s="194"/>
      <c r="I2391" s="194"/>
      <c r="J2391" s="194"/>
      <c r="K2391" s="194"/>
      <c r="L2391" s="194"/>
    </row>
    <row r="2392" spans="1:12" x14ac:dyDescent="0.3">
      <c r="A2392" s="194"/>
      <c r="B2392" s="194"/>
      <c r="C2392" s="194"/>
      <c r="D2392" s="194"/>
      <c r="E2392" s="194"/>
      <c r="F2392" s="194"/>
      <c r="G2392" s="194"/>
      <c r="H2392" s="194"/>
      <c r="I2392" s="194"/>
      <c r="J2392" s="194"/>
      <c r="K2392" s="194"/>
      <c r="L2392" s="194"/>
    </row>
    <row r="2393" spans="1:12" x14ac:dyDescent="0.3">
      <c r="A2393" s="194"/>
      <c r="B2393" s="194"/>
      <c r="C2393" s="194"/>
      <c r="D2393" s="194"/>
      <c r="E2393" s="194"/>
      <c r="F2393" s="194"/>
      <c r="G2393" s="194"/>
      <c r="H2393" s="194"/>
      <c r="I2393" s="194"/>
      <c r="J2393" s="194"/>
      <c r="K2393" s="194"/>
      <c r="L2393" s="194"/>
    </row>
    <row r="2394" spans="1:12" x14ac:dyDescent="0.3">
      <c r="A2394" s="194"/>
      <c r="B2394" s="194"/>
      <c r="C2394" s="194"/>
      <c r="D2394" s="194"/>
      <c r="E2394" s="194"/>
      <c r="F2394" s="194"/>
      <c r="G2394" s="194"/>
      <c r="H2394" s="194"/>
      <c r="I2394" s="194"/>
      <c r="J2394" s="194"/>
      <c r="K2394" s="194"/>
      <c r="L2394" s="194"/>
    </row>
    <row r="2395" spans="1:12" x14ac:dyDescent="0.3">
      <c r="A2395" s="194"/>
      <c r="B2395" s="194"/>
      <c r="C2395" s="194"/>
      <c r="D2395" s="194"/>
      <c r="E2395" s="194"/>
      <c r="F2395" s="194"/>
      <c r="G2395" s="194"/>
      <c r="H2395" s="194"/>
      <c r="I2395" s="194"/>
      <c r="J2395" s="194"/>
      <c r="K2395" s="194"/>
      <c r="L2395" s="194"/>
    </row>
    <row r="2396" spans="1:12" x14ac:dyDescent="0.3">
      <c r="A2396" s="194"/>
      <c r="B2396" s="194"/>
      <c r="C2396" s="194"/>
      <c r="D2396" s="194"/>
      <c r="E2396" s="194"/>
      <c r="F2396" s="194"/>
      <c r="G2396" s="194"/>
      <c r="H2396" s="194"/>
      <c r="I2396" s="194"/>
      <c r="J2396" s="194"/>
      <c r="K2396" s="194"/>
      <c r="L2396" s="194"/>
    </row>
    <row r="2397" spans="1:12" x14ac:dyDescent="0.3">
      <c r="A2397" s="194"/>
      <c r="B2397" s="194"/>
      <c r="C2397" s="194"/>
      <c r="D2397" s="194"/>
      <c r="E2397" s="194"/>
      <c r="F2397" s="194"/>
      <c r="G2397" s="194"/>
      <c r="H2397" s="194"/>
      <c r="I2397" s="194"/>
      <c r="J2397" s="194"/>
      <c r="K2397" s="194"/>
      <c r="L2397" s="194"/>
    </row>
    <row r="2398" spans="1:12" x14ac:dyDescent="0.3">
      <c r="A2398" s="194"/>
      <c r="B2398" s="194"/>
      <c r="C2398" s="194"/>
      <c r="D2398" s="194"/>
      <c r="E2398" s="194"/>
      <c r="F2398" s="194"/>
      <c r="G2398" s="194"/>
      <c r="H2398" s="194"/>
      <c r="I2398" s="194"/>
      <c r="J2398" s="194"/>
      <c r="K2398" s="194"/>
      <c r="L2398" s="194"/>
    </row>
    <row r="2399" spans="1:12" x14ac:dyDescent="0.3">
      <c r="A2399" s="194"/>
      <c r="B2399" s="194"/>
      <c r="C2399" s="194"/>
      <c r="D2399" s="194"/>
      <c r="E2399" s="194"/>
      <c r="F2399" s="194"/>
      <c r="G2399" s="194"/>
      <c r="H2399" s="194"/>
      <c r="I2399" s="194"/>
      <c r="J2399" s="194"/>
      <c r="K2399" s="194"/>
      <c r="L2399" s="194"/>
    </row>
    <row r="2400" spans="1:12" x14ac:dyDescent="0.3">
      <c r="A2400" s="194"/>
      <c r="B2400" s="194"/>
      <c r="C2400" s="194"/>
      <c r="D2400" s="194"/>
      <c r="E2400" s="194"/>
      <c r="F2400" s="194"/>
      <c r="G2400" s="194"/>
      <c r="H2400" s="194"/>
      <c r="I2400" s="194"/>
      <c r="J2400" s="194"/>
      <c r="K2400" s="194"/>
      <c r="L2400" s="194"/>
    </row>
    <row r="2401" spans="1:12" x14ac:dyDescent="0.3">
      <c r="A2401" s="194"/>
      <c r="B2401" s="194"/>
      <c r="C2401" s="194"/>
      <c r="D2401" s="194"/>
      <c r="E2401" s="194"/>
      <c r="F2401" s="194"/>
      <c r="G2401" s="194"/>
      <c r="H2401" s="194"/>
      <c r="I2401" s="194"/>
      <c r="J2401" s="194"/>
      <c r="K2401" s="194"/>
      <c r="L2401" s="194"/>
    </row>
    <row r="2402" spans="1:12" x14ac:dyDescent="0.3">
      <c r="A2402" s="194"/>
      <c r="B2402" s="194"/>
      <c r="C2402" s="194"/>
      <c r="D2402" s="194"/>
      <c r="E2402" s="194"/>
      <c r="F2402" s="194"/>
      <c r="G2402" s="194"/>
      <c r="H2402" s="194"/>
      <c r="I2402" s="194"/>
      <c r="J2402" s="194"/>
      <c r="K2402" s="194"/>
      <c r="L2402" s="194"/>
    </row>
    <row r="2403" spans="1:12" x14ac:dyDescent="0.3">
      <c r="A2403" s="194"/>
      <c r="B2403" s="194"/>
      <c r="C2403" s="194"/>
      <c r="D2403" s="194"/>
      <c r="E2403" s="194"/>
      <c r="F2403" s="194"/>
      <c r="G2403" s="194"/>
      <c r="H2403" s="194"/>
      <c r="I2403" s="194"/>
      <c r="J2403" s="194"/>
      <c r="K2403" s="194"/>
      <c r="L2403" s="194"/>
    </row>
    <row r="2404" spans="1:12" x14ac:dyDescent="0.3">
      <c r="A2404" s="194"/>
      <c r="B2404" s="194"/>
      <c r="C2404" s="194"/>
      <c r="D2404" s="194"/>
      <c r="E2404" s="194"/>
      <c r="F2404" s="194"/>
      <c r="G2404" s="194"/>
      <c r="H2404" s="194"/>
      <c r="I2404" s="194"/>
      <c r="J2404" s="194"/>
      <c r="K2404" s="194"/>
      <c r="L2404" s="194"/>
    </row>
    <row r="2405" spans="1:12" x14ac:dyDescent="0.3">
      <c r="A2405" s="194"/>
      <c r="B2405" s="194"/>
      <c r="C2405" s="194"/>
      <c r="D2405" s="194"/>
      <c r="E2405" s="194"/>
      <c r="F2405" s="194"/>
      <c r="G2405" s="194"/>
      <c r="H2405" s="194"/>
      <c r="I2405" s="194"/>
      <c r="J2405" s="194"/>
      <c r="K2405" s="194"/>
      <c r="L2405" s="194"/>
    </row>
    <row r="2406" spans="1:12" x14ac:dyDescent="0.3">
      <c r="A2406" s="194"/>
      <c r="B2406" s="194"/>
      <c r="C2406" s="194"/>
      <c r="D2406" s="194"/>
      <c r="E2406" s="194"/>
      <c r="F2406" s="194"/>
      <c r="G2406" s="194"/>
      <c r="H2406" s="194"/>
      <c r="I2406" s="194"/>
      <c r="J2406" s="194"/>
      <c r="K2406" s="194"/>
      <c r="L2406" s="194"/>
    </row>
    <row r="2407" spans="1:12" x14ac:dyDescent="0.3">
      <c r="A2407" s="194"/>
      <c r="B2407" s="194"/>
      <c r="C2407" s="194"/>
      <c r="D2407" s="194"/>
      <c r="E2407" s="194"/>
      <c r="F2407" s="194"/>
      <c r="G2407" s="194"/>
      <c r="H2407" s="194"/>
      <c r="I2407" s="194"/>
      <c r="J2407" s="194"/>
      <c r="K2407" s="194"/>
      <c r="L2407" s="194"/>
    </row>
    <row r="2408" spans="1:12" x14ac:dyDescent="0.3">
      <c r="A2408" s="194"/>
      <c r="B2408" s="194"/>
      <c r="C2408" s="194"/>
      <c r="D2408" s="194"/>
      <c r="E2408" s="194"/>
      <c r="F2408" s="194"/>
      <c r="G2408" s="194"/>
      <c r="H2408" s="194"/>
      <c r="I2408" s="194"/>
      <c r="J2408" s="194"/>
      <c r="K2408" s="194"/>
      <c r="L2408" s="194"/>
    </row>
    <row r="2409" spans="1:12" x14ac:dyDescent="0.3">
      <c r="A2409" s="194"/>
      <c r="B2409" s="194"/>
      <c r="C2409" s="194"/>
      <c r="D2409" s="194"/>
      <c r="E2409" s="194"/>
      <c r="F2409" s="194"/>
      <c r="G2409" s="194"/>
      <c r="H2409" s="194"/>
      <c r="I2409" s="194"/>
      <c r="J2409" s="194"/>
      <c r="K2409" s="194"/>
      <c r="L2409" s="194"/>
    </row>
    <row r="2410" spans="1:12" x14ac:dyDescent="0.3">
      <c r="A2410" s="194"/>
      <c r="B2410" s="194"/>
      <c r="C2410" s="194"/>
      <c r="D2410" s="194"/>
      <c r="E2410" s="194"/>
      <c r="F2410" s="194"/>
      <c r="G2410" s="194"/>
      <c r="H2410" s="194"/>
      <c r="I2410" s="194"/>
      <c r="J2410" s="194"/>
      <c r="K2410" s="194"/>
      <c r="L2410" s="194"/>
    </row>
    <row r="2411" spans="1:12" x14ac:dyDescent="0.3">
      <c r="A2411" s="194"/>
      <c r="B2411" s="194"/>
      <c r="C2411" s="194"/>
      <c r="D2411" s="194"/>
      <c r="E2411" s="194"/>
      <c r="F2411" s="194"/>
      <c r="G2411" s="194"/>
      <c r="H2411" s="194"/>
      <c r="I2411" s="194"/>
      <c r="J2411" s="194"/>
      <c r="K2411" s="194"/>
      <c r="L2411" s="194"/>
    </row>
    <row r="2412" spans="1:12" x14ac:dyDescent="0.3">
      <c r="A2412" s="194"/>
      <c r="B2412" s="194"/>
      <c r="C2412" s="194"/>
      <c r="D2412" s="194"/>
      <c r="E2412" s="194"/>
      <c r="F2412" s="194"/>
      <c r="G2412" s="194"/>
      <c r="H2412" s="194"/>
      <c r="I2412" s="194"/>
      <c r="J2412" s="194"/>
      <c r="K2412" s="194"/>
      <c r="L2412" s="194"/>
    </row>
    <row r="2413" spans="1:12" x14ac:dyDescent="0.3">
      <c r="A2413" s="194"/>
      <c r="B2413" s="194"/>
      <c r="C2413" s="194"/>
      <c r="D2413" s="194"/>
      <c r="E2413" s="194"/>
      <c r="F2413" s="194"/>
      <c r="G2413" s="194"/>
      <c r="H2413" s="194"/>
      <c r="I2413" s="194"/>
      <c r="J2413" s="194"/>
      <c r="K2413" s="194"/>
      <c r="L2413" s="194"/>
    </row>
    <row r="2414" spans="1:12" x14ac:dyDescent="0.3">
      <c r="A2414" s="194"/>
      <c r="B2414" s="194"/>
      <c r="C2414" s="194"/>
      <c r="D2414" s="194"/>
      <c r="E2414" s="194"/>
      <c r="F2414" s="194"/>
      <c r="G2414" s="194"/>
      <c r="H2414" s="194"/>
      <c r="I2414" s="194"/>
      <c r="J2414" s="194"/>
      <c r="K2414" s="194"/>
      <c r="L2414" s="194"/>
    </row>
    <row r="2415" spans="1:12" x14ac:dyDescent="0.3">
      <c r="A2415" s="194"/>
      <c r="B2415" s="194"/>
      <c r="C2415" s="194"/>
      <c r="D2415" s="194"/>
      <c r="E2415" s="194"/>
      <c r="F2415" s="194"/>
      <c r="G2415" s="194"/>
      <c r="H2415" s="194"/>
      <c r="I2415" s="194"/>
      <c r="J2415" s="194"/>
      <c r="K2415" s="194"/>
      <c r="L2415" s="194"/>
    </row>
    <row r="2416" spans="1:12" x14ac:dyDescent="0.3">
      <c r="A2416" s="194"/>
      <c r="B2416" s="194"/>
      <c r="C2416" s="194"/>
      <c r="D2416" s="194"/>
      <c r="E2416" s="194"/>
      <c r="F2416" s="194"/>
      <c r="G2416" s="194"/>
      <c r="H2416" s="194"/>
      <c r="I2416" s="194"/>
      <c r="J2416" s="194"/>
      <c r="K2416" s="194"/>
      <c r="L2416" s="194"/>
    </row>
    <row r="2417" spans="1:12" x14ac:dyDescent="0.3">
      <c r="A2417" s="194"/>
      <c r="B2417" s="194"/>
      <c r="C2417" s="194"/>
      <c r="D2417" s="194"/>
      <c r="E2417" s="194"/>
      <c r="F2417" s="194"/>
      <c r="G2417" s="194"/>
      <c r="H2417" s="194"/>
      <c r="I2417" s="194"/>
      <c r="J2417" s="194"/>
      <c r="K2417" s="194"/>
      <c r="L2417" s="194"/>
    </row>
    <row r="2418" spans="1:12" x14ac:dyDescent="0.3">
      <c r="A2418" s="194"/>
      <c r="B2418" s="194"/>
      <c r="C2418" s="194"/>
      <c r="D2418" s="194"/>
      <c r="E2418" s="194"/>
      <c r="F2418" s="194"/>
      <c r="G2418" s="194"/>
      <c r="H2418" s="194"/>
      <c r="I2418" s="194"/>
      <c r="J2418" s="194"/>
      <c r="K2418" s="194"/>
      <c r="L2418" s="194"/>
    </row>
    <row r="2419" spans="1:12" x14ac:dyDescent="0.3">
      <c r="A2419" s="194"/>
      <c r="B2419" s="194"/>
      <c r="C2419" s="194"/>
      <c r="D2419" s="194"/>
      <c r="E2419" s="194"/>
      <c r="F2419" s="194"/>
      <c r="G2419" s="194"/>
      <c r="H2419" s="194"/>
      <c r="I2419" s="194"/>
      <c r="J2419" s="194"/>
      <c r="K2419" s="194"/>
      <c r="L2419" s="194"/>
    </row>
    <row r="2420" spans="1:12" x14ac:dyDescent="0.3">
      <c r="A2420" s="194"/>
      <c r="B2420" s="194"/>
      <c r="C2420" s="194"/>
      <c r="D2420" s="194"/>
      <c r="E2420" s="194"/>
      <c r="F2420" s="194"/>
      <c r="G2420" s="194"/>
      <c r="H2420" s="194"/>
      <c r="I2420" s="194"/>
      <c r="J2420" s="194"/>
      <c r="K2420" s="194"/>
      <c r="L2420" s="194"/>
    </row>
    <row r="2421" spans="1:12" x14ac:dyDescent="0.3">
      <c r="A2421" s="194"/>
      <c r="B2421" s="194"/>
      <c r="C2421" s="194"/>
      <c r="D2421" s="194"/>
      <c r="E2421" s="194"/>
      <c r="F2421" s="194"/>
      <c r="G2421" s="194"/>
      <c r="H2421" s="194"/>
      <c r="I2421" s="194"/>
      <c r="J2421" s="194"/>
      <c r="K2421" s="194"/>
      <c r="L2421" s="194"/>
    </row>
    <row r="2422" spans="1:12" x14ac:dyDescent="0.3">
      <c r="A2422" s="194"/>
      <c r="B2422" s="194"/>
      <c r="C2422" s="194"/>
      <c r="D2422" s="194"/>
      <c r="E2422" s="194"/>
      <c r="F2422" s="194"/>
      <c r="G2422" s="194"/>
      <c r="H2422" s="194"/>
      <c r="I2422" s="194"/>
      <c r="J2422" s="194"/>
      <c r="K2422" s="194"/>
      <c r="L2422" s="194"/>
    </row>
    <row r="2423" spans="1:12" x14ac:dyDescent="0.3">
      <c r="A2423" s="194"/>
      <c r="B2423" s="194"/>
      <c r="C2423" s="194"/>
      <c r="D2423" s="194"/>
      <c r="E2423" s="194"/>
      <c r="F2423" s="194"/>
      <c r="G2423" s="194"/>
      <c r="H2423" s="194"/>
      <c r="I2423" s="194"/>
      <c r="J2423" s="194"/>
      <c r="K2423" s="194"/>
      <c r="L2423" s="194"/>
    </row>
    <row r="2424" spans="1:12" x14ac:dyDescent="0.3">
      <c r="A2424" s="194"/>
      <c r="B2424" s="194"/>
      <c r="C2424" s="194"/>
      <c r="D2424" s="194"/>
      <c r="E2424" s="194"/>
      <c r="F2424" s="194"/>
      <c r="G2424" s="194"/>
      <c r="H2424" s="194"/>
      <c r="I2424" s="194"/>
      <c r="J2424" s="194"/>
      <c r="K2424" s="194"/>
      <c r="L2424" s="194"/>
    </row>
    <row r="2425" spans="1:12" x14ac:dyDescent="0.3">
      <c r="A2425" s="194"/>
      <c r="B2425" s="194"/>
      <c r="C2425" s="194"/>
      <c r="D2425" s="194"/>
      <c r="E2425" s="194"/>
      <c r="F2425" s="194"/>
      <c r="G2425" s="194"/>
      <c r="H2425" s="194"/>
      <c r="I2425" s="194"/>
      <c r="J2425" s="194"/>
      <c r="K2425" s="194"/>
      <c r="L2425" s="194"/>
    </row>
    <row r="2426" spans="1:12" x14ac:dyDescent="0.3">
      <c r="A2426" s="194"/>
      <c r="B2426" s="194"/>
      <c r="C2426" s="194"/>
      <c r="D2426" s="194"/>
      <c r="E2426" s="194"/>
      <c r="F2426" s="194"/>
      <c r="G2426" s="194"/>
      <c r="H2426" s="194"/>
      <c r="I2426" s="194"/>
      <c r="J2426" s="194"/>
      <c r="K2426" s="194"/>
      <c r="L2426" s="194"/>
    </row>
    <row r="2427" spans="1:12" x14ac:dyDescent="0.3">
      <c r="A2427" s="194"/>
      <c r="B2427" s="194"/>
      <c r="C2427" s="194"/>
      <c r="D2427" s="194"/>
      <c r="E2427" s="194"/>
      <c r="F2427" s="194"/>
      <c r="G2427" s="194"/>
      <c r="H2427" s="194"/>
      <c r="I2427" s="194"/>
      <c r="J2427" s="194"/>
      <c r="K2427" s="194"/>
      <c r="L2427" s="194"/>
    </row>
    <row r="2428" spans="1:12" x14ac:dyDescent="0.3">
      <c r="A2428" s="194"/>
      <c r="B2428" s="194"/>
      <c r="C2428" s="194"/>
      <c r="D2428" s="194"/>
      <c r="E2428" s="194"/>
      <c r="F2428" s="194"/>
      <c r="G2428" s="194"/>
      <c r="H2428" s="194"/>
      <c r="I2428" s="194"/>
      <c r="J2428" s="194"/>
      <c r="K2428" s="194"/>
      <c r="L2428" s="194"/>
    </row>
    <row r="2429" spans="1:12" x14ac:dyDescent="0.3">
      <c r="A2429" s="194"/>
      <c r="B2429" s="194"/>
      <c r="C2429" s="194"/>
      <c r="D2429" s="194"/>
      <c r="E2429" s="194"/>
      <c r="F2429" s="194"/>
      <c r="G2429" s="194"/>
      <c r="H2429" s="194"/>
      <c r="I2429" s="194"/>
      <c r="J2429" s="194"/>
      <c r="K2429" s="194"/>
      <c r="L2429" s="194"/>
    </row>
    <row r="2430" spans="1:12" x14ac:dyDescent="0.3">
      <c r="A2430" s="194"/>
      <c r="B2430" s="194"/>
      <c r="C2430" s="194"/>
      <c r="D2430" s="194"/>
      <c r="E2430" s="194"/>
      <c r="F2430" s="194"/>
      <c r="G2430" s="194"/>
      <c r="H2430" s="194"/>
      <c r="I2430" s="194"/>
      <c r="J2430" s="194"/>
      <c r="K2430" s="194"/>
      <c r="L2430" s="194"/>
    </row>
    <row r="2431" spans="1:12" x14ac:dyDescent="0.3">
      <c r="A2431" s="194"/>
      <c r="B2431" s="194"/>
      <c r="C2431" s="194"/>
      <c r="D2431" s="194"/>
      <c r="E2431" s="194"/>
      <c r="F2431" s="194"/>
      <c r="G2431" s="194"/>
      <c r="H2431" s="194"/>
      <c r="I2431" s="194"/>
      <c r="J2431" s="194"/>
      <c r="K2431" s="194"/>
      <c r="L2431" s="194"/>
    </row>
    <row r="2432" spans="1:12" x14ac:dyDescent="0.3">
      <c r="A2432" s="194"/>
      <c r="B2432" s="194"/>
      <c r="C2432" s="194"/>
      <c r="D2432" s="194"/>
      <c r="E2432" s="194"/>
      <c r="F2432" s="194"/>
      <c r="G2432" s="194"/>
      <c r="H2432" s="194"/>
      <c r="I2432" s="194"/>
      <c r="J2432" s="194"/>
      <c r="K2432" s="194"/>
      <c r="L2432" s="194"/>
    </row>
    <row r="2433" spans="1:12" x14ac:dyDescent="0.3">
      <c r="A2433" s="194"/>
      <c r="B2433" s="194"/>
      <c r="C2433" s="194"/>
      <c r="D2433" s="194"/>
      <c r="E2433" s="194"/>
      <c r="F2433" s="194"/>
      <c r="G2433" s="194"/>
      <c r="H2433" s="194"/>
      <c r="I2433" s="194"/>
      <c r="J2433" s="194"/>
      <c r="K2433" s="194"/>
      <c r="L2433" s="194"/>
    </row>
    <row r="2434" spans="1:12" x14ac:dyDescent="0.3">
      <c r="A2434" s="194"/>
      <c r="B2434" s="194"/>
      <c r="C2434" s="194"/>
      <c r="D2434" s="194"/>
      <c r="E2434" s="194"/>
      <c r="F2434" s="194"/>
      <c r="G2434" s="194"/>
      <c r="H2434" s="194"/>
      <c r="I2434" s="194"/>
      <c r="J2434" s="194"/>
      <c r="K2434" s="194"/>
      <c r="L2434" s="194"/>
    </row>
    <row r="2435" spans="1:12" x14ac:dyDescent="0.3">
      <c r="A2435" s="194"/>
      <c r="B2435" s="194"/>
      <c r="C2435" s="194"/>
      <c r="D2435" s="194"/>
      <c r="E2435" s="194"/>
      <c r="F2435" s="194"/>
      <c r="G2435" s="194"/>
      <c r="H2435" s="194"/>
      <c r="I2435" s="194"/>
      <c r="J2435" s="194"/>
      <c r="K2435" s="194"/>
      <c r="L2435" s="194"/>
    </row>
    <row r="2436" spans="1:12" x14ac:dyDescent="0.3">
      <c r="A2436" s="194"/>
      <c r="B2436" s="194"/>
      <c r="C2436" s="194"/>
      <c r="D2436" s="194"/>
      <c r="E2436" s="194"/>
      <c r="F2436" s="194"/>
      <c r="G2436" s="194"/>
      <c r="H2436" s="194"/>
      <c r="I2436" s="194"/>
      <c r="J2436" s="194"/>
      <c r="K2436" s="194"/>
      <c r="L2436" s="194"/>
    </row>
    <row r="2437" spans="1:12" x14ac:dyDescent="0.3">
      <c r="A2437" s="194"/>
      <c r="B2437" s="194"/>
      <c r="C2437" s="194"/>
      <c r="D2437" s="194"/>
      <c r="E2437" s="194"/>
      <c r="F2437" s="194"/>
      <c r="G2437" s="194"/>
      <c r="H2437" s="194"/>
      <c r="I2437" s="194"/>
      <c r="J2437" s="194"/>
      <c r="K2437" s="194"/>
      <c r="L2437" s="194"/>
    </row>
    <row r="2438" spans="1:12" x14ac:dyDescent="0.3">
      <c r="A2438" s="194"/>
      <c r="B2438" s="194"/>
      <c r="C2438" s="194"/>
      <c r="D2438" s="194"/>
      <c r="E2438" s="194"/>
      <c r="F2438" s="194"/>
      <c r="G2438" s="194"/>
      <c r="H2438" s="194"/>
      <c r="I2438" s="194"/>
      <c r="J2438" s="194"/>
      <c r="K2438" s="194"/>
      <c r="L2438" s="194"/>
    </row>
    <row r="2439" spans="1:12" x14ac:dyDescent="0.3">
      <c r="A2439" s="194"/>
      <c r="B2439" s="194"/>
      <c r="C2439" s="194"/>
      <c r="D2439" s="194"/>
      <c r="E2439" s="194"/>
      <c r="F2439" s="194"/>
      <c r="G2439" s="194"/>
      <c r="H2439" s="194"/>
      <c r="I2439" s="194"/>
      <c r="J2439" s="194"/>
      <c r="K2439" s="194"/>
      <c r="L2439" s="194"/>
    </row>
    <row r="2440" spans="1:12" x14ac:dyDescent="0.3">
      <c r="A2440" s="194"/>
      <c r="B2440" s="194"/>
      <c r="C2440" s="194"/>
      <c r="D2440" s="194"/>
      <c r="E2440" s="194"/>
      <c r="F2440" s="194"/>
      <c r="G2440" s="194"/>
      <c r="H2440" s="194"/>
      <c r="I2440" s="194"/>
      <c r="J2440" s="194"/>
      <c r="K2440" s="194"/>
      <c r="L2440" s="194"/>
    </row>
    <row r="2441" spans="1:12" x14ac:dyDescent="0.3">
      <c r="A2441" s="194"/>
      <c r="B2441" s="194"/>
      <c r="C2441" s="194"/>
      <c r="D2441" s="194"/>
      <c r="E2441" s="194"/>
      <c r="F2441" s="194"/>
      <c r="G2441" s="194"/>
      <c r="H2441" s="194"/>
      <c r="I2441" s="194"/>
      <c r="J2441" s="194"/>
      <c r="K2441" s="194"/>
      <c r="L2441" s="194"/>
    </row>
    <row r="2442" spans="1:12" x14ac:dyDescent="0.3">
      <c r="A2442" s="194"/>
      <c r="B2442" s="194"/>
      <c r="C2442" s="194"/>
      <c r="D2442" s="194"/>
      <c r="E2442" s="194"/>
      <c r="F2442" s="194"/>
      <c r="G2442" s="194"/>
      <c r="H2442" s="194"/>
      <c r="I2442" s="194"/>
      <c r="J2442" s="194"/>
      <c r="K2442" s="194"/>
      <c r="L2442" s="194"/>
    </row>
    <row r="2443" spans="1:12" x14ac:dyDescent="0.3">
      <c r="A2443" s="194"/>
      <c r="B2443" s="194"/>
      <c r="C2443" s="194"/>
      <c r="D2443" s="194"/>
      <c r="E2443" s="194"/>
      <c r="F2443" s="194"/>
      <c r="G2443" s="194"/>
      <c r="H2443" s="194"/>
      <c r="I2443" s="194"/>
      <c r="J2443" s="194"/>
      <c r="K2443" s="194"/>
      <c r="L2443" s="194"/>
    </row>
    <row r="2444" spans="1:12" x14ac:dyDescent="0.3">
      <c r="A2444" s="194"/>
      <c r="B2444" s="194"/>
      <c r="C2444" s="194"/>
      <c r="D2444" s="194"/>
      <c r="E2444" s="194"/>
      <c r="F2444" s="194"/>
      <c r="G2444" s="194"/>
      <c r="H2444" s="194"/>
      <c r="I2444" s="194"/>
      <c r="J2444" s="194"/>
      <c r="K2444" s="194"/>
      <c r="L2444" s="194"/>
    </row>
    <row r="2445" spans="1:12" x14ac:dyDescent="0.3">
      <c r="A2445" s="194"/>
      <c r="B2445" s="194"/>
      <c r="C2445" s="194"/>
      <c r="D2445" s="194"/>
      <c r="E2445" s="194"/>
      <c r="F2445" s="194"/>
      <c r="G2445" s="194"/>
      <c r="H2445" s="194"/>
      <c r="I2445" s="194"/>
      <c r="J2445" s="194"/>
      <c r="K2445" s="194"/>
      <c r="L2445" s="194"/>
    </row>
    <row r="2446" spans="1:12" x14ac:dyDescent="0.3">
      <c r="A2446" s="194"/>
      <c r="B2446" s="194"/>
      <c r="C2446" s="194"/>
      <c r="D2446" s="194"/>
      <c r="E2446" s="194"/>
      <c r="F2446" s="194"/>
      <c r="G2446" s="194"/>
      <c r="H2446" s="194"/>
      <c r="I2446" s="194"/>
      <c r="J2446" s="194"/>
      <c r="K2446" s="194"/>
      <c r="L2446" s="194"/>
    </row>
    <row r="2447" spans="1:12" x14ac:dyDescent="0.3">
      <c r="A2447" s="194"/>
      <c r="B2447" s="194"/>
      <c r="C2447" s="194"/>
      <c r="D2447" s="194"/>
      <c r="E2447" s="194"/>
      <c r="F2447" s="194"/>
      <c r="G2447" s="194"/>
      <c r="H2447" s="194"/>
      <c r="I2447" s="194"/>
      <c r="J2447" s="194"/>
      <c r="K2447" s="194"/>
      <c r="L2447" s="194"/>
    </row>
    <row r="2448" spans="1:12" x14ac:dyDescent="0.3">
      <c r="A2448" s="194"/>
      <c r="B2448" s="194"/>
      <c r="C2448" s="194"/>
      <c r="D2448" s="194"/>
      <c r="E2448" s="194"/>
      <c r="F2448" s="194"/>
      <c r="G2448" s="194"/>
      <c r="H2448" s="194"/>
      <c r="I2448" s="194"/>
      <c r="J2448" s="194"/>
      <c r="K2448" s="194"/>
      <c r="L2448" s="194"/>
    </row>
    <row r="2449" spans="1:12" x14ac:dyDescent="0.3">
      <c r="A2449" s="194"/>
      <c r="B2449" s="194"/>
      <c r="C2449" s="194"/>
      <c r="D2449" s="194"/>
      <c r="E2449" s="194"/>
      <c r="F2449" s="194"/>
      <c r="G2449" s="194"/>
      <c r="H2449" s="194"/>
      <c r="I2449" s="194"/>
      <c r="J2449" s="194"/>
      <c r="K2449" s="194"/>
      <c r="L2449" s="194"/>
    </row>
    <row r="2450" spans="1:12" x14ac:dyDescent="0.3">
      <c r="A2450" s="194"/>
      <c r="B2450" s="194"/>
      <c r="C2450" s="194"/>
      <c r="D2450" s="194"/>
      <c r="E2450" s="194"/>
      <c r="F2450" s="194"/>
      <c r="G2450" s="194"/>
      <c r="H2450" s="194"/>
      <c r="I2450" s="194"/>
      <c r="J2450" s="194"/>
      <c r="K2450" s="194"/>
      <c r="L2450" s="194"/>
    </row>
    <row r="2451" spans="1:12" x14ac:dyDescent="0.3">
      <c r="A2451" s="194"/>
      <c r="B2451" s="194"/>
      <c r="C2451" s="194"/>
      <c r="D2451" s="194"/>
      <c r="E2451" s="194"/>
      <c r="F2451" s="194"/>
      <c r="G2451" s="194"/>
      <c r="H2451" s="194"/>
      <c r="I2451" s="194"/>
      <c r="J2451" s="194"/>
      <c r="K2451" s="194"/>
      <c r="L2451" s="194"/>
    </row>
    <row r="2452" spans="1:12" x14ac:dyDescent="0.3">
      <c r="A2452" s="194"/>
      <c r="B2452" s="194"/>
      <c r="C2452" s="194"/>
      <c r="D2452" s="194"/>
      <c r="E2452" s="194"/>
      <c r="F2452" s="194"/>
      <c r="G2452" s="194"/>
      <c r="H2452" s="194"/>
      <c r="I2452" s="194"/>
      <c r="J2452" s="194"/>
      <c r="K2452" s="194"/>
      <c r="L2452" s="194"/>
    </row>
    <row r="2453" spans="1:12" x14ac:dyDescent="0.3">
      <c r="A2453" s="194"/>
      <c r="B2453" s="194"/>
      <c r="C2453" s="194"/>
      <c r="D2453" s="194"/>
      <c r="E2453" s="194"/>
      <c r="F2453" s="194"/>
      <c r="G2453" s="194"/>
      <c r="H2453" s="194"/>
      <c r="I2453" s="194"/>
      <c r="J2453" s="194"/>
      <c r="K2453" s="194"/>
      <c r="L2453" s="194"/>
    </row>
    <row r="2454" spans="1:12" x14ac:dyDescent="0.3">
      <c r="A2454" s="194"/>
      <c r="B2454" s="194"/>
      <c r="C2454" s="194"/>
      <c r="D2454" s="194"/>
      <c r="E2454" s="194"/>
      <c r="F2454" s="194"/>
      <c r="G2454" s="194"/>
      <c r="H2454" s="194"/>
      <c r="I2454" s="194"/>
      <c r="J2454" s="194"/>
      <c r="K2454" s="194"/>
      <c r="L2454" s="194"/>
    </row>
    <row r="2455" spans="1:12" x14ac:dyDescent="0.3">
      <c r="A2455" s="194"/>
      <c r="B2455" s="194"/>
      <c r="C2455" s="194"/>
      <c r="D2455" s="194"/>
      <c r="E2455" s="194"/>
      <c r="F2455" s="194"/>
      <c r="G2455" s="194"/>
      <c r="H2455" s="194"/>
      <c r="I2455" s="194"/>
      <c r="J2455" s="194"/>
      <c r="K2455" s="194"/>
      <c r="L2455" s="194"/>
    </row>
    <row r="2456" spans="1:12" x14ac:dyDescent="0.3">
      <c r="B2456" s="194"/>
      <c r="C2456" s="194"/>
      <c r="D2456" s="194"/>
      <c r="E2456" s="194"/>
      <c r="F2456" s="194"/>
      <c r="G2456" s="194"/>
      <c r="H2456" s="194"/>
      <c r="I2456" s="194"/>
      <c r="J2456" s="194"/>
      <c r="K2456" s="194"/>
      <c r="L2456" s="194"/>
    </row>
    <row r="2457" spans="1:12" x14ac:dyDescent="0.3">
      <c r="B2457" s="194"/>
      <c r="C2457" s="194"/>
      <c r="D2457" s="194"/>
      <c r="E2457" s="194"/>
      <c r="F2457" s="194"/>
      <c r="G2457" s="194"/>
      <c r="H2457" s="194"/>
      <c r="I2457" s="194"/>
      <c r="J2457" s="194"/>
      <c r="K2457" s="194"/>
      <c r="L2457" s="194"/>
    </row>
    <row r="2458" spans="1:12" x14ac:dyDescent="0.3">
      <c r="B2458" s="194"/>
      <c r="C2458" s="194"/>
      <c r="D2458" s="194"/>
      <c r="E2458" s="194"/>
      <c r="F2458" s="194"/>
      <c r="G2458" s="194"/>
      <c r="H2458" s="194"/>
      <c r="I2458" s="194"/>
      <c r="J2458" s="194"/>
      <c r="K2458" s="194"/>
      <c r="L2458" s="194"/>
    </row>
    <row r="2459" spans="1:12" x14ac:dyDescent="0.3">
      <c r="B2459" s="194"/>
      <c r="C2459" s="194"/>
      <c r="D2459" s="194"/>
      <c r="E2459" s="194"/>
      <c r="F2459" s="194"/>
      <c r="G2459" s="194"/>
      <c r="H2459" s="194"/>
      <c r="I2459" s="194"/>
      <c r="J2459" s="194"/>
      <c r="K2459" s="194"/>
      <c r="L2459" s="194"/>
    </row>
    <row r="2460" spans="1:12" x14ac:dyDescent="0.3">
      <c r="B2460" s="194"/>
      <c r="C2460" s="194"/>
      <c r="D2460" s="194"/>
      <c r="E2460" s="194"/>
      <c r="F2460" s="194"/>
      <c r="G2460" s="194"/>
      <c r="H2460" s="194"/>
      <c r="I2460" s="194"/>
      <c r="J2460" s="194"/>
      <c r="K2460" s="194"/>
      <c r="L2460" s="194"/>
    </row>
    <row r="2461" spans="1:12" x14ac:dyDescent="0.3">
      <c r="B2461" s="194"/>
      <c r="C2461" s="194"/>
      <c r="D2461" s="194"/>
      <c r="E2461" s="194"/>
      <c r="F2461" s="194"/>
      <c r="G2461" s="194"/>
      <c r="H2461" s="194"/>
      <c r="I2461" s="194"/>
      <c r="J2461" s="194"/>
      <c r="K2461" s="194"/>
      <c r="L2461" s="194"/>
    </row>
    <row r="2462" spans="1:12" x14ac:dyDescent="0.3">
      <c r="B2462" s="194"/>
      <c r="C2462" s="194"/>
      <c r="D2462" s="194"/>
      <c r="E2462" s="194"/>
      <c r="F2462" s="194"/>
      <c r="G2462" s="194"/>
      <c r="H2462" s="194"/>
      <c r="I2462" s="194"/>
      <c r="J2462" s="194"/>
      <c r="K2462" s="194"/>
      <c r="L2462" s="194"/>
    </row>
    <row r="2463" spans="1:12" x14ac:dyDescent="0.3">
      <c r="B2463" s="194"/>
      <c r="C2463" s="194"/>
      <c r="D2463" s="194"/>
      <c r="E2463" s="194"/>
      <c r="F2463" s="194"/>
      <c r="G2463" s="194"/>
      <c r="H2463" s="194"/>
      <c r="I2463" s="194"/>
      <c r="J2463" s="194"/>
      <c r="K2463" s="194"/>
      <c r="L2463" s="194"/>
    </row>
    <row r="2464" spans="1:12" x14ac:dyDescent="0.3">
      <c r="B2464" s="194"/>
      <c r="C2464" s="194"/>
      <c r="D2464" s="194"/>
      <c r="E2464" s="194"/>
      <c r="F2464" s="194"/>
      <c r="G2464" s="194"/>
      <c r="H2464" s="194"/>
      <c r="I2464" s="194"/>
      <c r="J2464" s="194"/>
      <c r="K2464" s="194"/>
      <c r="L2464" s="194"/>
    </row>
    <row r="2465" spans="2:12" x14ac:dyDescent="0.3">
      <c r="B2465" s="194"/>
      <c r="C2465" s="194"/>
      <c r="D2465" s="194"/>
      <c r="E2465" s="194"/>
      <c r="F2465" s="194"/>
      <c r="G2465" s="194"/>
      <c r="H2465" s="194"/>
      <c r="I2465" s="194"/>
      <c r="J2465" s="194"/>
      <c r="K2465" s="194"/>
      <c r="L2465" s="194"/>
    </row>
    <row r="2466" spans="2:12" x14ac:dyDescent="0.3">
      <c r="B2466" s="194"/>
      <c r="C2466" s="194"/>
      <c r="D2466" s="194"/>
      <c r="E2466" s="194"/>
      <c r="F2466" s="194"/>
      <c r="G2466" s="194"/>
      <c r="H2466" s="194"/>
      <c r="I2466" s="194"/>
      <c r="J2466" s="194"/>
      <c r="K2466" s="194"/>
      <c r="L2466" s="194"/>
    </row>
    <row r="2467" spans="2:12" x14ac:dyDescent="0.3">
      <c r="B2467" s="194"/>
      <c r="C2467" s="194"/>
      <c r="D2467" s="194"/>
      <c r="E2467" s="194"/>
      <c r="F2467" s="194"/>
      <c r="G2467" s="194"/>
      <c r="H2467" s="194"/>
      <c r="I2467" s="194"/>
      <c r="J2467" s="194"/>
      <c r="K2467" s="194"/>
      <c r="L2467" s="194"/>
    </row>
    <row r="2468" spans="2:12" x14ac:dyDescent="0.3">
      <c r="B2468" s="194"/>
      <c r="C2468" s="194"/>
      <c r="D2468" s="194"/>
      <c r="E2468" s="194"/>
      <c r="F2468" s="194"/>
      <c r="G2468" s="194"/>
      <c r="H2468" s="194"/>
      <c r="I2468" s="194"/>
      <c r="J2468" s="194"/>
      <c r="K2468" s="194"/>
      <c r="L2468" s="194"/>
    </row>
    <row r="2469" spans="2:12" x14ac:dyDescent="0.3">
      <c r="B2469" s="194"/>
      <c r="C2469" s="194"/>
      <c r="D2469" s="194"/>
      <c r="E2469" s="194"/>
      <c r="F2469" s="194"/>
      <c r="G2469" s="194"/>
      <c r="H2469" s="194"/>
      <c r="I2469" s="194"/>
      <c r="J2469" s="194"/>
      <c r="K2469" s="194"/>
      <c r="L2469" s="194"/>
    </row>
    <row r="2470" spans="2:12" x14ac:dyDescent="0.3">
      <c r="B2470" s="194"/>
      <c r="C2470" s="194"/>
      <c r="D2470" s="194"/>
      <c r="E2470" s="194"/>
      <c r="F2470" s="194"/>
      <c r="G2470" s="194"/>
      <c r="H2470" s="194"/>
      <c r="I2470" s="194"/>
      <c r="J2470" s="194"/>
      <c r="K2470" s="194"/>
      <c r="L2470" s="194"/>
    </row>
    <row r="2471" spans="2:12" x14ac:dyDescent="0.3">
      <c r="B2471" s="194"/>
      <c r="C2471" s="194"/>
      <c r="D2471" s="194"/>
      <c r="E2471" s="194"/>
      <c r="F2471" s="194"/>
      <c r="G2471" s="194"/>
      <c r="H2471" s="194"/>
      <c r="I2471" s="194"/>
      <c r="J2471" s="194"/>
      <c r="K2471" s="194"/>
      <c r="L2471" s="194"/>
    </row>
    <row r="2472" spans="2:12" x14ac:dyDescent="0.3">
      <c r="B2472" s="194"/>
      <c r="C2472" s="194"/>
      <c r="D2472" s="194"/>
      <c r="E2472" s="194"/>
      <c r="F2472" s="194"/>
      <c r="G2472" s="194"/>
      <c r="H2472" s="194"/>
      <c r="I2472" s="194"/>
      <c r="J2472" s="194"/>
      <c r="K2472" s="194"/>
      <c r="L2472" s="194"/>
    </row>
    <row r="2473" spans="2:12" x14ac:dyDescent="0.3">
      <c r="B2473" s="194"/>
      <c r="C2473" s="194"/>
      <c r="D2473" s="194"/>
      <c r="E2473" s="194"/>
      <c r="F2473" s="194"/>
      <c r="G2473" s="194"/>
      <c r="H2473" s="194"/>
      <c r="I2473" s="194"/>
      <c r="J2473" s="194"/>
      <c r="K2473" s="194"/>
      <c r="L2473" s="194"/>
    </row>
    <row r="2474" spans="2:12" x14ac:dyDescent="0.3">
      <c r="B2474" s="194"/>
      <c r="C2474" s="194"/>
      <c r="D2474" s="194"/>
      <c r="E2474" s="194"/>
      <c r="F2474" s="194"/>
      <c r="G2474" s="194"/>
      <c r="H2474" s="194"/>
      <c r="I2474" s="194"/>
      <c r="J2474" s="194"/>
      <c r="K2474" s="194"/>
      <c r="L2474" s="194"/>
    </row>
    <row r="2475" spans="2:12" x14ac:dyDescent="0.3">
      <c r="B2475" s="194"/>
      <c r="C2475" s="194"/>
      <c r="D2475" s="194"/>
      <c r="E2475" s="194"/>
      <c r="F2475" s="194"/>
      <c r="G2475" s="194"/>
      <c r="H2475" s="194"/>
      <c r="I2475" s="194"/>
      <c r="J2475" s="194"/>
      <c r="K2475" s="194"/>
      <c r="L2475" s="194"/>
    </row>
    <row r="2476" spans="2:12" x14ac:dyDescent="0.3">
      <c r="B2476" s="194"/>
      <c r="C2476" s="194"/>
      <c r="D2476" s="194"/>
      <c r="E2476" s="194"/>
      <c r="F2476" s="194"/>
      <c r="G2476" s="194"/>
      <c r="H2476" s="194"/>
      <c r="I2476" s="194"/>
      <c r="J2476" s="194"/>
      <c r="K2476" s="194"/>
      <c r="L2476" s="194"/>
    </row>
    <row r="2477" spans="2:12" x14ac:dyDescent="0.3">
      <c r="B2477" s="194"/>
      <c r="C2477" s="194"/>
      <c r="D2477" s="194"/>
      <c r="E2477" s="194"/>
      <c r="F2477" s="194"/>
      <c r="G2477" s="194"/>
      <c r="H2477" s="194"/>
      <c r="I2477" s="194"/>
      <c r="J2477" s="194"/>
      <c r="K2477" s="194"/>
      <c r="L2477" s="194"/>
    </row>
    <row r="2478" spans="2:12" x14ac:dyDescent="0.3">
      <c r="B2478" s="194"/>
      <c r="C2478" s="194"/>
      <c r="D2478" s="194"/>
      <c r="E2478" s="194"/>
      <c r="F2478" s="194"/>
      <c r="G2478" s="194"/>
      <c r="H2478" s="194"/>
      <c r="I2478" s="194"/>
      <c r="J2478" s="194"/>
      <c r="K2478" s="194"/>
      <c r="L2478" s="194"/>
    </row>
    <row r="2479" spans="2:12" x14ac:dyDescent="0.3">
      <c r="B2479" s="194"/>
      <c r="C2479" s="194"/>
      <c r="D2479" s="194"/>
      <c r="E2479" s="194"/>
      <c r="F2479" s="194"/>
      <c r="G2479" s="194"/>
      <c r="H2479" s="194"/>
      <c r="I2479" s="194"/>
      <c r="J2479" s="194"/>
      <c r="K2479" s="194"/>
      <c r="L2479" s="194"/>
    </row>
    <row r="2480" spans="2:12" x14ac:dyDescent="0.3">
      <c r="B2480" s="194"/>
      <c r="C2480" s="194"/>
      <c r="D2480" s="194"/>
      <c r="E2480" s="194"/>
      <c r="F2480" s="194"/>
      <c r="G2480" s="194"/>
      <c r="H2480" s="194"/>
      <c r="I2480" s="194"/>
      <c r="J2480" s="194"/>
      <c r="K2480" s="194"/>
      <c r="L2480" s="194"/>
    </row>
    <row r="2481" spans="2:12" x14ac:dyDescent="0.3">
      <c r="B2481" s="194"/>
      <c r="C2481" s="194"/>
      <c r="D2481" s="194"/>
      <c r="E2481" s="194"/>
      <c r="F2481" s="194"/>
      <c r="G2481" s="194"/>
      <c r="H2481" s="194"/>
      <c r="I2481" s="194"/>
      <c r="J2481" s="194"/>
      <c r="K2481" s="194"/>
      <c r="L2481" s="194"/>
    </row>
    <row r="2482" spans="2:12" x14ac:dyDescent="0.3">
      <c r="B2482" s="194"/>
      <c r="C2482" s="194"/>
      <c r="D2482" s="194"/>
      <c r="E2482" s="194"/>
      <c r="F2482" s="194"/>
      <c r="G2482" s="194"/>
      <c r="H2482" s="194"/>
      <c r="I2482" s="194"/>
      <c r="J2482" s="194"/>
      <c r="K2482" s="194"/>
      <c r="L2482" s="194"/>
    </row>
    <row r="2483" spans="2:12" x14ac:dyDescent="0.3">
      <c r="B2483" s="194"/>
      <c r="C2483" s="194"/>
      <c r="D2483" s="194"/>
      <c r="E2483" s="194"/>
      <c r="F2483" s="194"/>
      <c r="G2483" s="194"/>
      <c r="H2483" s="194"/>
      <c r="I2483" s="194"/>
      <c r="J2483" s="194"/>
      <c r="K2483" s="194"/>
      <c r="L2483" s="194"/>
    </row>
    <row r="2484" spans="2:12" x14ac:dyDescent="0.3">
      <c r="B2484" s="194"/>
      <c r="C2484" s="194"/>
      <c r="D2484" s="194"/>
      <c r="E2484" s="194"/>
      <c r="F2484" s="194"/>
      <c r="G2484" s="194"/>
      <c r="H2484" s="194"/>
      <c r="I2484" s="194"/>
      <c r="J2484" s="194"/>
      <c r="K2484" s="194"/>
      <c r="L2484" s="194"/>
    </row>
    <row r="2485" spans="2:12" x14ac:dyDescent="0.3">
      <c r="B2485" s="194"/>
      <c r="C2485" s="194"/>
      <c r="D2485" s="194"/>
      <c r="E2485" s="194"/>
      <c r="F2485" s="194"/>
      <c r="G2485" s="194"/>
      <c r="H2485" s="194"/>
      <c r="I2485" s="194"/>
      <c r="J2485" s="194"/>
      <c r="K2485" s="194"/>
      <c r="L2485" s="194"/>
    </row>
    <row r="2486" spans="2:12" x14ac:dyDescent="0.3">
      <c r="B2486" s="194"/>
      <c r="C2486" s="194"/>
      <c r="D2486" s="194"/>
      <c r="E2486" s="194"/>
      <c r="F2486" s="194"/>
      <c r="G2486" s="194"/>
      <c r="H2486" s="194"/>
      <c r="I2486" s="194"/>
      <c r="J2486" s="194"/>
      <c r="K2486" s="194"/>
      <c r="L2486" s="194"/>
    </row>
    <row r="2487" spans="2:12" x14ac:dyDescent="0.3">
      <c r="B2487" s="194"/>
      <c r="C2487" s="194"/>
      <c r="D2487" s="194"/>
      <c r="E2487" s="194"/>
      <c r="F2487" s="194"/>
      <c r="G2487" s="194"/>
      <c r="H2487" s="194"/>
      <c r="I2487" s="194"/>
      <c r="J2487" s="194"/>
      <c r="K2487" s="194"/>
      <c r="L2487" s="194"/>
    </row>
    <row r="2488" spans="2:12" x14ac:dyDescent="0.3">
      <c r="B2488" s="194"/>
      <c r="C2488" s="194"/>
      <c r="D2488" s="194"/>
      <c r="E2488" s="194"/>
      <c r="F2488" s="194"/>
      <c r="G2488" s="194"/>
      <c r="H2488" s="194"/>
      <c r="I2488" s="194"/>
      <c r="J2488" s="194"/>
      <c r="K2488" s="194"/>
      <c r="L2488" s="194"/>
    </row>
    <row r="2489" spans="2:12" x14ac:dyDescent="0.3">
      <c r="B2489" s="194"/>
      <c r="C2489" s="194"/>
      <c r="D2489" s="194"/>
      <c r="E2489" s="194"/>
      <c r="F2489" s="194"/>
      <c r="G2489" s="194"/>
      <c r="H2489" s="194"/>
      <c r="I2489" s="194"/>
      <c r="J2489" s="194"/>
      <c r="K2489" s="194"/>
      <c r="L2489" s="194"/>
    </row>
    <row r="2490" spans="2:12" x14ac:dyDescent="0.3">
      <c r="B2490" s="194"/>
      <c r="C2490" s="194"/>
      <c r="D2490" s="194"/>
      <c r="E2490" s="194"/>
      <c r="F2490" s="194"/>
      <c r="G2490" s="194"/>
      <c r="H2490" s="194"/>
      <c r="I2490" s="194"/>
      <c r="J2490" s="194"/>
      <c r="K2490" s="194"/>
      <c r="L2490" s="194"/>
    </row>
    <row r="2491" spans="2:12" x14ac:dyDescent="0.3">
      <c r="B2491" s="194"/>
      <c r="C2491" s="194"/>
      <c r="D2491" s="194"/>
      <c r="E2491" s="194"/>
      <c r="F2491" s="194"/>
      <c r="G2491" s="194"/>
      <c r="H2491" s="194"/>
      <c r="I2491" s="194"/>
      <c r="J2491" s="194"/>
      <c r="K2491" s="194"/>
      <c r="L2491" s="194"/>
    </row>
    <row r="2492" spans="2:12" x14ac:dyDescent="0.3">
      <c r="B2492" s="194"/>
      <c r="C2492" s="194"/>
      <c r="D2492" s="194"/>
      <c r="E2492" s="194"/>
      <c r="F2492" s="194"/>
      <c r="G2492" s="194"/>
      <c r="H2492" s="194"/>
      <c r="I2492" s="194"/>
      <c r="J2492" s="194"/>
      <c r="K2492" s="194"/>
      <c r="L2492" s="194"/>
    </row>
    <row r="2493" spans="2:12" x14ac:dyDescent="0.3">
      <c r="B2493" s="194"/>
      <c r="C2493" s="194"/>
      <c r="D2493" s="194"/>
      <c r="E2493" s="194"/>
      <c r="F2493" s="194"/>
      <c r="G2493" s="194"/>
      <c r="H2493" s="194"/>
      <c r="I2493" s="194"/>
      <c r="J2493" s="194"/>
      <c r="K2493" s="194"/>
      <c r="L2493" s="194"/>
    </row>
    <row r="2494" spans="2:12" x14ac:dyDescent="0.3">
      <c r="B2494" s="194"/>
      <c r="C2494" s="194"/>
      <c r="D2494" s="194"/>
      <c r="E2494" s="194"/>
      <c r="F2494" s="194"/>
      <c r="G2494" s="194"/>
      <c r="H2494" s="194"/>
      <c r="I2494" s="194"/>
      <c r="J2494" s="194"/>
      <c r="K2494" s="194"/>
      <c r="L2494" s="194"/>
    </row>
    <row r="2495" spans="2:12" x14ac:dyDescent="0.3">
      <c r="B2495" s="194"/>
      <c r="C2495" s="194"/>
      <c r="D2495" s="194"/>
      <c r="E2495" s="194"/>
      <c r="F2495" s="194"/>
      <c r="G2495" s="194"/>
      <c r="H2495" s="194"/>
      <c r="I2495" s="194"/>
      <c r="J2495" s="194"/>
      <c r="K2495" s="194"/>
      <c r="L2495" s="194"/>
    </row>
    <row r="2496" spans="2:12" x14ac:dyDescent="0.3">
      <c r="B2496" s="194"/>
      <c r="C2496" s="194"/>
      <c r="D2496" s="194"/>
      <c r="E2496" s="194"/>
      <c r="F2496" s="194"/>
      <c r="G2496" s="194"/>
      <c r="H2496" s="194"/>
      <c r="I2496" s="194"/>
      <c r="J2496" s="194"/>
      <c r="K2496" s="194"/>
      <c r="L2496" s="194"/>
    </row>
    <row r="2497" spans="2:12" x14ac:dyDescent="0.3">
      <c r="B2497" s="194"/>
      <c r="C2497" s="194"/>
      <c r="D2497" s="194"/>
      <c r="E2497" s="194"/>
      <c r="F2497" s="194"/>
      <c r="G2497" s="194"/>
      <c r="H2497" s="194"/>
      <c r="I2497" s="194"/>
      <c r="J2497" s="194"/>
      <c r="K2497" s="194"/>
      <c r="L2497" s="194"/>
    </row>
    <row r="2498" spans="2:12" x14ac:dyDescent="0.3">
      <c r="B2498" s="194"/>
      <c r="C2498" s="194"/>
      <c r="D2498" s="194"/>
      <c r="E2498" s="194"/>
      <c r="F2498" s="194"/>
      <c r="G2498" s="194"/>
      <c r="H2498" s="194"/>
      <c r="I2498" s="194"/>
      <c r="J2498" s="194"/>
      <c r="K2498" s="194"/>
      <c r="L2498" s="194"/>
    </row>
    <row r="2499" spans="2:12" x14ac:dyDescent="0.3">
      <c r="B2499" s="194"/>
      <c r="C2499" s="194"/>
      <c r="D2499" s="194"/>
      <c r="E2499" s="194"/>
      <c r="F2499" s="194"/>
      <c r="G2499" s="194"/>
      <c r="H2499" s="194"/>
      <c r="I2499" s="194"/>
      <c r="J2499" s="194"/>
      <c r="K2499" s="194"/>
      <c r="L2499" s="194"/>
    </row>
    <row r="2500" spans="2:12" x14ac:dyDescent="0.3">
      <c r="B2500" s="194"/>
      <c r="C2500" s="194"/>
      <c r="D2500" s="194"/>
      <c r="E2500" s="194"/>
      <c r="F2500" s="194"/>
      <c r="G2500" s="194"/>
      <c r="H2500" s="194"/>
      <c r="I2500" s="194"/>
      <c r="J2500" s="194"/>
      <c r="K2500" s="194"/>
      <c r="L2500" s="194"/>
    </row>
    <row r="2501" spans="2:12" x14ac:dyDescent="0.3">
      <c r="B2501" s="194"/>
      <c r="C2501" s="194"/>
      <c r="D2501" s="194"/>
      <c r="E2501" s="194"/>
      <c r="F2501" s="194"/>
      <c r="G2501" s="194"/>
      <c r="H2501" s="194"/>
      <c r="I2501" s="194"/>
      <c r="J2501" s="194"/>
      <c r="K2501" s="194"/>
      <c r="L2501" s="194"/>
    </row>
    <row r="2502" spans="2:12" x14ac:dyDescent="0.3">
      <c r="B2502" s="194"/>
      <c r="C2502" s="194"/>
      <c r="D2502" s="194"/>
      <c r="E2502" s="194"/>
      <c r="F2502" s="194"/>
      <c r="G2502" s="194"/>
      <c r="H2502" s="194"/>
      <c r="I2502" s="194"/>
      <c r="J2502" s="194"/>
      <c r="K2502" s="194"/>
      <c r="L2502" s="194"/>
    </row>
    <row r="2503" spans="2:12" x14ac:dyDescent="0.3">
      <c r="B2503" s="194"/>
      <c r="C2503" s="194"/>
      <c r="D2503" s="194"/>
      <c r="E2503" s="194"/>
      <c r="F2503" s="194"/>
      <c r="G2503" s="194"/>
      <c r="H2503" s="194"/>
      <c r="I2503" s="194"/>
      <c r="J2503" s="194"/>
      <c r="K2503" s="194"/>
      <c r="L2503" s="194"/>
    </row>
    <row r="2504" spans="2:12" x14ac:dyDescent="0.3">
      <c r="B2504" s="194"/>
      <c r="C2504" s="194"/>
      <c r="D2504" s="194"/>
      <c r="E2504" s="194"/>
      <c r="F2504" s="194"/>
      <c r="G2504" s="194"/>
      <c r="H2504" s="194"/>
      <c r="I2504" s="194"/>
      <c r="J2504" s="194"/>
      <c r="K2504" s="194"/>
      <c r="L2504" s="194"/>
    </row>
    <row r="2505" spans="2:12" x14ac:dyDescent="0.3">
      <c r="B2505" s="194"/>
      <c r="C2505" s="194"/>
      <c r="D2505" s="194"/>
      <c r="E2505" s="194"/>
      <c r="F2505" s="194"/>
      <c r="G2505" s="194"/>
      <c r="H2505" s="194"/>
      <c r="I2505" s="194"/>
      <c r="J2505" s="194"/>
      <c r="K2505" s="194"/>
      <c r="L2505" s="194"/>
    </row>
    <row r="2506" spans="2:12" x14ac:dyDescent="0.3">
      <c r="B2506" s="194"/>
      <c r="C2506" s="194"/>
      <c r="D2506" s="194"/>
      <c r="E2506" s="194"/>
      <c r="F2506" s="194"/>
      <c r="G2506" s="194"/>
      <c r="H2506" s="194"/>
      <c r="I2506" s="194"/>
      <c r="J2506" s="194"/>
      <c r="K2506" s="194"/>
      <c r="L2506" s="194"/>
    </row>
    <row r="2507" spans="2:12" x14ac:dyDescent="0.3">
      <c r="B2507" s="194"/>
      <c r="C2507" s="194"/>
      <c r="D2507" s="194"/>
      <c r="E2507" s="194"/>
      <c r="F2507" s="194"/>
      <c r="G2507" s="194"/>
      <c r="H2507" s="194"/>
      <c r="I2507" s="194"/>
      <c r="J2507" s="194"/>
      <c r="K2507" s="194"/>
      <c r="L2507" s="194"/>
    </row>
    <row r="2508" spans="2:12" x14ac:dyDescent="0.3">
      <c r="B2508" s="194"/>
      <c r="C2508" s="194"/>
      <c r="D2508" s="194"/>
      <c r="E2508" s="194"/>
      <c r="F2508" s="194"/>
      <c r="G2508" s="194"/>
      <c r="H2508" s="194"/>
      <c r="I2508" s="194"/>
      <c r="J2508" s="194"/>
      <c r="K2508" s="194"/>
      <c r="L2508" s="194"/>
    </row>
    <row r="2509" spans="2:12" x14ac:dyDescent="0.3">
      <c r="B2509" s="194"/>
      <c r="C2509" s="194"/>
      <c r="D2509" s="194"/>
      <c r="E2509" s="194"/>
      <c r="F2509" s="194"/>
      <c r="G2509" s="194"/>
      <c r="H2509" s="194"/>
      <c r="I2509" s="194"/>
      <c r="J2509" s="194"/>
      <c r="K2509" s="194"/>
      <c r="L2509" s="194"/>
    </row>
    <row r="2510" spans="2:12" x14ac:dyDescent="0.3">
      <c r="B2510" s="194"/>
      <c r="C2510" s="194"/>
      <c r="D2510" s="194"/>
      <c r="E2510" s="194"/>
      <c r="F2510" s="194"/>
      <c r="G2510" s="194"/>
      <c r="H2510" s="194"/>
      <c r="I2510" s="194"/>
      <c r="J2510" s="194"/>
      <c r="K2510" s="194"/>
      <c r="L2510" s="194"/>
    </row>
    <row r="2511" spans="2:12" x14ac:dyDescent="0.3">
      <c r="B2511" s="194"/>
      <c r="C2511" s="194"/>
      <c r="D2511" s="194"/>
      <c r="E2511" s="194"/>
      <c r="F2511" s="194"/>
      <c r="G2511" s="194"/>
      <c r="H2511" s="194"/>
      <c r="I2511" s="194"/>
      <c r="J2511" s="194"/>
      <c r="K2511" s="194"/>
      <c r="L2511" s="194"/>
    </row>
    <row r="2512" spans="2:12" x14ac:dyDescent="0.3">
      <c r="B2512" s="194"/>
      <c r="C2512" s="194"/>
      <c r="D2512" s="194"/>
      <c r="E2512" s="194"/>
      <c r="F2512" s="194"/>
      <c r="G2512" s="194"/>
      <c r="H2512" s="194"/>
      <c r="I2512" s="194"/>
      <c r="J2512" s="194"/>
      <c r="K2512" s="194"/>
      <c r="L2512" s="194"/>
    </row>
    <row r="2513" spans="2:12" x14ac:dyDescent="0.3">
      <c r="B2513" s="194"/>
      <c r="C2513" s="194"/>
      <c r="D2513" s="194"/>
      <c r="E2513" s="194"/>
      <c r="F2513" s="194"/>
      <c r="G2513" s="194"/>
      <c r="H2513" s="194"/>
      <c r="I2513" s="194"/>
      <c r="J2513" s="194"/>
      <c r="K2513" s="194"/>
      <c r="L2513" s="194"/>
    </row>
    <row r="2514" spans="2:12" x14ac:dyDescent="0.3">
      <c r="B2514" s="194"/>
      <c r="C2514" s="194"/>
      <c r="D2514" s="194"/>
      <c r="E2514" s="194"/>
      <c r="F2514" s="194"/>
      <c r="G2514" s="194"/>
      <c r="H2514" s="194"/>
      <c r="I2514" s="194"/>
      <c r="J2514" s="194"/>
      <c r="K2514" s="194"/>
      <c r="L2514" s="194"/>
    </row>
    <row r="2515" spans="2:12" x14ac:dyDescent="0.3">
      <c r="B2515" s="194"/>
      <c r="C2515" s="194"/>
      <c r="D2515" s="194"/>
      <c r="E2515" s="194"/>
      <c r="F2515" s="194"/>
      <c r="G2515" s="194"/>
      <c r="H2515" s="194"/>
      <c r="I2515" s="194"/>
      <c r="J2515" s="194"/>
      <c r="K2515" s="194"/>
      <c r="L2515" s="194"/>
    </row>
    <row r="2516" spans="2:12" x14ac:dyDescent="0.3">
      <c r="B2516" s="194"/>
      <c r="C2516" s="194"/>
      <c r="D2516" s="194"/>
      <c r="E2516" s="194"/>
      <c r="F2516" s="194"/>
      <c r="G2516" s="194"/>
      <c r="H2516" s="194"/>
      <c r="I2516" s="194"/>
      <c r="J2516" s="194"/>
      <c r="K2516" s="194"/>
      <c r="L2516" s="194"/>
    </row>
    <row r="2517" spans="2:12" x14ac:dyDescent="0.3">
      <c r="B2517" s="194"/>
      <c r="C2517" s="194"/>
      <c r="D2517" s="194"/>
      <c r="E2517" s="194"/>
      <c r="F2517" s="194"/>
      <c r="G2517" s="194"/>
      <c r="H2517" s="194"/>
      <c r="I2517" s="194"/>
      <c r="J2517" s="194"/>
      <c r="K2517" s="194"/>
      <c r="L2517" s="194"/>
    </row>
    <row r="2518" spans="2:12" x14ac:dyDescent="0.3">
      <c r="B2518" s="194"/>
      <c r="C2518" s="194"/>
      <c r="D2518" s="194"/>
      <c r="E2518" s="194"/>
      <c r="F2518" s="194"/>
      <c r="G2518" s="194"/>
      <c r="H2518" s="194"/>
      <c r="I2518" s="194"/>
      <c r="J2518" s="194"/>
      <c r="K2518" s="194"/>
      <c r="L2518" s="194"/>
    </row>
    <row r="2519" spans="2:12" x14ac:dyDescent="0.3">
      <c r="B2519" s="194"/>
      <c r="C2519" s="194"/>
      <c r="D2519" s="194"/>
      <c r="E2519" s="194"/>
      <c r="F2519" s="194"/>
      <c r="G2519" s="194"/>
      <c r="H2519" s="194"/>
      <c r="I2519" s="194"/>
      <c r="J2519" s="194"/>
      <c r="K2519" s="194"/>
      <c r="L2519" s="194"/>
    </row>
    <row r="2520" spans="2:12" x14ac:dyDescent="0.3">
      <c r="B2520" s="194"/>
      <c r="C2520" s="194"/>
      <c r="D2520" s="194"/>
      <c r="E2520" s="194"/>
      <c r="F2520" s="194"/>
      <c r="G2520" s="194"/>
      <c r="H2520" s="194"/>
      <c r="I2520" s="194"/>
      <c r="J2520" s="194"/>
      <c r="K2520" s="194"/>
      <c r="L2520" s="194"/>
    </row>
    <row r="2521" spans="2:12" x14ac:dyDescent="0.3">
      <c r="B2521" s="194"/>
      <c r="C2521" s="194"/>
      <c r="D2521" s="194"/>
      <c r="E2521" s="194"/>
      <c r="F2521" s="194"/>
      <c r="G2521" s="194"/>
      <c r="H2521" s="194"/>
      <c r="I2521" s="194"/>
      <c r="J2521" s="194"/>
      <c r="K2521" s="194"/>
      <c r="L2521" s="194"/>
    </row>
    <row r="2522" spans="2:12" x14ac:dyDescent="0.3">
      <c r="B2522" s="194"/>
      <c r="C2522" s="194"/>
      <c r="D2522" s="194"/>
      <c r="E2522" s="194"/>
      <c r="F2522" s="194"/>
      <c r="G2522" s="194"/>
      <c r="H2522" s="194"/>
      <c r="I2522" s="194"/>
      <c r="J2522" s="194"/>
      <c r="K2522" s="194"/>
      <c r="L2522" s="194"/>
    </row>
    <row r="2523" spans="2:12" x14ac:dyDescent="0.3">
      <c r="B2523" s="194"/>
      <c r="C2523" s="194"/>
      <c r="D2523" s="194"/>
      <c r="E2523" s="194"/>
      <c r="F2523" s="194"/>
      <c r="G2523" s="194"/>
      <c r="H2523" s="194"/>
      <c r="I2523" s="194"/>
      <c r="J2523" s="194"/>
      <c r="K2523" s="194"/>
      <c r="L2523" s="194"/>
    </row>
    <row r="2524" spans="2:12" x14ac:dyDescent="0.3">
      <c r="B2524" s="194"/>
      <c r="C2524" s="194"/>
      <c r="D2524" s="194"/>
      <c r="E2524" s="194"/>
      <c r="F2524" s="194"/>
      <c r="G2524" s="194"/>
      <c r="H2524" s="194"/>
      <c r="I2524" s="194"/>
      <c r="J2524" s="194"/>
      <c r="K2524" s="194"/>
      <c r="L2524" s="194"/>
    </row>
    <row r="2525" spans="2:12" x14ac:dyDescent="0.3">
      <c r="B2525" s="194"/>
      <c r="C2525" s="194"/>
      <c r="D2525" s="194"/>
      <c r="E2525" s="194"/>
      <c r="F2525" s="194"/>
      <c r="G2525" s="194"/>
      <c r="H2525" s="194"/>
      <c r="I2525" s="194"/>
      <c r="J2525" s="194"/>
      <c r="K2525" s="194"/>
      <c r="L2525" s="194"/>
    </row>
    <row r="2526" spans="2:12" x14ac:dyDescent="0.3">
      <c r="B2526" s="194"/>
      <c r="C2526" s="194"/>
      <c r="D2526" s="194"/>
      <c r="E2526" s="194"/>
      <c r="F2526" s="194"/>
      <c r="G2526" s="194"/>
      <c r="H2526" s="194"/>
      <c r="I2526" s="194"/>
      <c r="J2526" s="194"/>
      <c r="K2526" s="194"/>
      <c r="L2526" s="194"/>
    </row>
    <row r="2527" spans="2:12" x14ac:dyDescent="0.3">
      <c r="B2527" s="194"/>
      <c r="C2527" s="194"/>
      <c r="D2527" s="194"/>
      <c r="E2527" s="194"/>
      <c r="F2527" s="194"/>
      <c r="G2527" s="194"/>
      <c r="H2527" s="194"/>
      <c r="I2527" s="194"/>
      <c r="J2527" s="194"/>
      <c r="K2527" s="194"/>
      <c r="L2527" s="194"/>
    </row>
    <row r="2528" spans="2:12" x14ac:dyDescent="0.3">
      <c r="B2528" s="194"/>
      <c r="C2528" s="194"/>
      <c r="D2528" s="194"/>
      <c r="E2528" s="194"/>
      <c r="F2528" s="194"/>
      <c r="G2528" s="194"/>
      <c r="H2528" s="194"/>
      <c r="I2528" s="194"/>
      <c r="J2528" s="194"/>
      <c r="K2528" s="194"/>
      <c r="L2528" s="194"/>
    </row>
    <row r="2529" spans="2:12" x14ac:dyDescent="0.3">
      <c r="B2529" s="194"/>
      <c r="C2529" s="194"/>
      <c r="D2529" s="194"/>
      <c r="E2529" s="194"/>
      <c r="F2529" s="194"/>
      <c r="G2529" s="194"/>
      <c r="H2529" s="194"/>
      <c r="I2529" s="194"/>
      <c r="J2529" s="194"/>
      <c r="K2529" s="194"/>
      <c r="L2529" s="194"/>
    </row>
    <row r="2530" spans="2:12" x14ac:dyDescent="0.3">
      <c r="B2530" s="194"/>
      <c r="C2530" s="194"/>
      <c r="D2530" s="194"/>
      <c r="E2530" s="194"/>
      <c r="F2530" s="194"/>
      <c r="G2530" s="194"/>
      <c r="H2530" s="194"/>
      <c r="I2530" s="194"/>
      <c r="J2530" s="194"/>
      <c r="K2530" s="194"/>
      <c r="L2530" s="194"/>
    </row>
    <row r="2531" spans="2:12" x14ac:dyDescent="0.3">
      <c r="B2531" s="194"/>
      <c r="C2531" s="194"/>
      <c r="D2531" s="194"/>
      <c r="E2531" s="194"/>
      <c r="F2531" s="194"/>
      <c r="G2531" s="194"/>
      <c r="H2531" s="194"/>
      <c r="I2531" s="194"/>
      <c r="J2531" s="194"/>
      <c r="K2531" s="194"/>
      <c r="L2531" s="194"/>
    </row>
    <row r="2532" spans="2:12" x14ac:dyDescent="0.3">
      <c r="B2532" s="194"/>
      <c r="C2532" s="194"/>
      <c r="D2532" s="194"/>
      <c r="E2532" s="194"/>
      <c r="F2532" s="194"/>
      <c r="G2532" s="194"/>
      <c r="H2532" s="194"/>
      <c r="I2532" s="194"/>
      <c r="J2532" s="194"/>
      <c r="K2532" s="194"/>
      <c r="L2532" s="194"/>
    </row>
    <row r="2533" spans="2:12" x14ac:dyDescent="0.3">
      <c r="B2533" s="194"/>
      <c r="C2533" s="194"/>
      <c r="D2533" s="194"/>
      <c r="E2533" s="194"/>
      <c r="F2533" s="194"/>
      <c r="G2533" s="194"/>
      <c r="H2533" s="194"/>
      <c r="I2533" s="194"/>
      <c r="J2533" s="194"/>
      <c r="K2533" s="194"/>
      <c r="L2533" s="194"/>
    </row>
    <row r="2534" spans="2:12" x14ac:dyDescent="0.3">
      <c r="B2534" s="194"/>
      <c r="C2534" s="194"/>
      <c r="D2534" s="194"/>
      <c r="E2534" s="194"/>
      <c r="F2534" s="194"/>
      <c r="G2534" s="194"/>
      <c r="H2534" s="194"/>
      <c r="I2534" s="194"/>
      <c r="J2534" s="194"/>
      <c r="K2534" s="194"/>
      <c r="L2534" s="194"/>
    </row>
    <row r="2535" spans="2:12" x14ac:dyDescent="0.3">
      <c r="B2535" s="194"/>
      <c r="C2535" s="194"/>
      <c r="D2535" s="194"/>
      <c r="E2535" s="194"/>
      <c r="F2535" s="194"/>
      <c r="G2535" s="194"/>
      <c r="H2535" s="194"/>
      <c r="I2535" s="194"/>
      <c r="J2535" s="194"/>
      <c r="K2535" s="194"/>
      <c r="L2535" s="194"/>
    </row>
    <row r="2536" spans="2:12" x14ac:dyDescent="0.3">
      <c r="B2536" s="194"/>
      <c r="C2536" s="194"/>
      <c r="D2536" s="194"/>
      <c r="E2536" s="194"/>
      <c r="F2536" s="194"/>
      <c r="G2536" s="194"/>
      <c r="H2536" s="194"/>
      <c r="I2536" s="194"/>
      <c r="J2536" s="194"/>
      <c r="K2536" s="194"/>
      <c r="L2536" s="194"/>
    </row>
    <row r="2537" spans="2:12" x14ac:dyDescent="0.3">
      <c r="B2537" s="194"/>
      <c r="C2537" s="194"/>
      <c r="D2537" s="194"/>
      <c r="E2537" s="194"/>
      <c r="F2537" s="194"/>
      <c r="G2537" s="194"/>
      <c r="H2537" s="194"/>
      <c r="I2537" s="194"/>
      <c r="J2537" s="194"/>
      <c r="K2537" s="194"/>
      <c r="L2537" s="194"/>
    </row>
    <row r="2538" spans="2:12" x14ac:dyDescent="0.3">
      <c r="B2538" s="194"/>
      <c r="C2538" s="194"/>
      <c r="D2538" s="194"/>
      <c r="E2538" s="194"/>
      <c r="F2538" s="194"/>
      <c r="G2538" s="194"/>
      <c r="H2538" s="194"/>
      <c r="I2538" s="194"/>
      <c r="J2538" s="194"/>
      <c r="K2538" s="194"/>
      <c r="L2538" s="194"/>
    </row>
    <row r="2539" spans="2:12" x14ac:dyDescent="0.3">
      <c r="B2539" s="194"/>
      <c r="C2539" s="194"/>
      <c r="D2539" s="194"/>
      <c r="E2539" s="194"/>
      <c r="F2539" s="194"/>
      <c r="G2539" s="194"/>
      <c r="H2539" s="194"/>
      <c r="I2539" s="194"/>
      <c r="J2539" s="194"/>
      <c r="K2539" s="194"/>
      <c r="L2539" s="194"/>
    </row>
    <row r="2540" spans="2:12" x14ac:dyDescent="0.3">
      <c r="B2540" s="194"/>
      <c r="C2540" s="194"/>
      <c r="D2540" s="194"/>
      <c r="E2540" s="194"/>
      <c r="F2540" s="194"/>
      <c r="G2540" s="194"/>
      <c r="H2540" s="194"/>
      <c r="I2540" s="194"/>
      <c r="J2540" s="194"/>
      <c r="K2540" s="194"/>
      <c r="L2540" s="194"/>
    </row>
    <row r="2541" spans="2:12" x14ac:dyDescent="0.3">
      <c r="B2541" s="194"/>
      <c r="C2541" s="194"/>
      <c r="D2541" s="194"/>
      <c r="E2541" s="194"/>
      <c r="F2541" s="194"/>
      <c r="G2541" s="194"/>
      <c r="H2541" s="194"/>
      <c r="I2541" s="194"/>
      <c r="J2541" s="194"/>
      <c r="K2541" s="194"/>
      <c r="L2541" s="194"/>
    </row>
    <row r="2542" spans="2:12" x14ac:dyDescent="0.3">
      <c r="B2542" s="194"/>
      <c r="C2542" s="194"/>
      <c r="D2542" s="194"/>
      <c r="E2542" s="194"/>
      <c r="F2542" s="194"/>
      <c r="G2542" s="194"/>
      <c r="H2542" s="194"/>
      <c r="I2542" s="194"/>
      <c r="J2542" s="194"/>
      <c r="K2542" s="194"/>
      <c r="L2542" s="194"/>
    </row>
    <row r="2543" spans="2:12" x14ac:dyDescent="0.3">
      <c r="B2543" s="194"/>
      <c r="C2543" s="194"/>
      <c r="D2543" s="194"/>
      <c r="E2543" s="194"/>
      <c r="F2543" s="194"/>
      <c r="G2543" s="194"/>
      <c r="H2543" s="194"/>
      <c r="I2543" s="194"/>
      <c r="J2543" s="194"/>
      <c r="K2543" s="194"/>
      <c r="L2543" s="194"/>
    </row>
    <row r="2544" spans="2:12" x14ac:dyDescent="0.3">
      <c r="B2544" s="194"/>
      <c r="C2544" s="194"/>
      <c r="D2544" s="194"/>
      <c r="E2544" s="194"/>
      <c r="F2544" s="194"/>
      <c r="G2544" s="194"/>
      <c r="H2544" s="194"/>
      <c r="I2544" s="194"/>
      <c r="J2544" s="194"/>
      <c r="K2544" s="194"/>
      <c r="L2544" s="194"/>
    </row>
    <row r="2545" spans="2:12" x14ac:dyDescent="0.3">
      <c r="B2545" s="194"/>
      <c r="C2545" s="194"/>
      <c r="D2545" s="194"/>
      <c r="E2545" s="194"/>
      <c r="F2545" s="194"/>
      <c r="G2545" s="194"/>
      <c r="H2545" s="194"/>
      <c r="I2545" s="194"/>
      <c r="J2545" s="194"/>
      <c r="K2545" s="194"/>
      <c r="L2545" s="194"/>
    </row>
    <row r="2546" spans="2:12" x14ac:dyDescent="0.3">
      <c r="B2546" s="194"/>
      <c r="C2546" s="194"/>
      <c r="D2546" s="194"/>
      <c r="E2546" s="194"/>
      <c r="F2546" s="194"/>
      <c r="G2546" s="194"/>
      <c r="H2546" s="194"/>
      <c r="I2546" s="194"/>
      <c r="J2546" s="194"/>
      <c r="K2546" s="194"/>
      <c r="L2546" s="194"/>
    </row>
    <row r="2547" spans="2:12" x14ac:dyDescent="0.3">
      <c r="B2547" s="194"/>
      <c r="C2547" s="194"/>
      <c r="D2547" s="194"/>
      <c r="E2547" s="194"/>
      <c r="F2547" s="194"/>
      <c r="G2547" s="194"/>
      <c r="H2547" s="194"/>
      <c r="I2547" s="194"/>
      <c r="J2547" s="194"/>
      <c r="K2547" s="194"/>
      <c r="L2547" s="194"/>
    </row>
    <row r="2548" spans="2:12" x14ac:dyDescent="0.3">
      <c r="B2548" s="194"/>
      <c r="C2548" s="194"/>
      <c r="D2548" s="194"/>
      <c r="E2548" s="194"/>
      <c r="F2548" s="194"/>
      <c r="G2548" s="194"/>
      <c r="H2548" s="194"/>
      <c r="I2548" s="194"/>
      <c r="J2548" s="194"/>
      <c r="K2548" s="194"/>
      <c r="L2548" s="194"/>
    </row>
    <row r="2549" spans="2:12" x14ac:dyDescent="0.3">
      <c r="B2549" s="194"/>
      <c r="C2549" s="194"/>
      <c r="D2549" s="194"/>
      <c r="E2549" s="194"/>
      <c r="F2549" s="194"/>
      <c r="G2549" s="194"/>
      <c r="H2549" s="194"/>
      <c r="I2549" s="194"/>
      <c r="J2549" s="194"/>
      <c r="K2549" s="194"/>
      <c r="L2549" s="194"/>
    </row>
    <row r="2550" spans="2:12" x14ac:dyDescent="0.3">
      <c r="B2550" s="194"/>
      <c r="C2550" s="194"/>
      <c r="D2550" s="194"/>
      <c r="E2550" s="194"/>
      <c r="F2550" s="194"/>
      <c r="G2550" s="194"/>
      <c r="H2550" s="194"/>
      <c r="I2550" s="194"/>
      <c r="J2550" s="194"/>
      <c r="K2550" s="194"/>
      <c r="L2550" s="194"/>
    </row>
    <row r="2551" spans="2:12" x14ac:dyDescent="0.3">
      <c r="B2551" s="194"/>
      <c r="C2551" s="194"/>
      <c r="D2551" s="194"/>
      <c r="E2551" s="194"/>
      <c r="F2551" s="194"/>
      <c r="G2551" s="194"/>
      <c r="H2551" s="194"/>
      <c r="I2551" s="194"/>
      <c r="J2551" s="194"/>
      <c r="K2551" s="194"/>
      <c r="L2551" s="194"/>
    </row>
    <row r="2552" spans="2:12" x14ac:dyDescent="0.3">
      <c r="B2552" s="194"/>
      <c r="C2552" s="194"/>
      <c r="D2552" s="194"/>
      <c r="E2552" s="194"/>
      <c r="F2552" s="194"/>
      <c r="G2552" s="194"/>
      <c r="H2552" s="194"/>
      <c r="I2552" s="194"/>
      <c r="J2552" s="194"/>
      <c r="K2552" s="194"/>
      <c r="L2552" s="194"/>
    </row>
    <row r="2553" spans="2:12" x14ac:dyDescent="0.3">
      <c r="B2553" s="194"/>
      <c r="C2553" s="194"/>
      <c r="D2553" s="194"/>
      <c r="E2553" s="194"/>
      <c r="F2553" s="194"/>
      <c r="G2553" s="194"/>
      <c r="H2553" s="194"/>
      <c r="I2553" s="194"/>
      <c r="J2553" s="194"/>
      <c r="K2553" s="194"/>
      <c r="L2553" s="194"/>
    </row>
    <row r="2554" spans="2:12" x14ac:dyDescent="0.3">
      <c r="B2554" s="194"/>
      <c r="C2554" s="194"/>
      <c r="D2554" s="194"/>
      <c r="E2554" s="194"/>
      <c r="F2554" s="194"/>
      <c r="G2554" s="194"/>
      <c r="H2554" s="194"/>
      <c r="I2554" s="194"/>
      <c r="J2554" s="194"/>
      <c r="K2554" s="194"/>
      <c r="L2554" s="194"/>
    </row>
    <row r="2555" spans="2:12" x14ac:dyDescent="0.3">
      <c r="B2555" s="194"/>
      <c r="C2555" s="194"/>
      <c r="D2555" s="194"/>
      <c r="E2555" s="194"/>
      <c r="F2555" s="194"/>
      <c r="G2555" s="194"/>
      <c r="H2555" s="194"/>
      <c r="I2555" s="194"/>
      <c r="J2555" s="194"/>
      <c r="K2555" s="194"/>
      <c r="L2555" s="194"/>
    </row>
    <row r="2556" spans="2:12" x14ac:dyDescent="0.3">
      <c r="B2556" s="194"/>
      <c r="C2556" s="194"/>
      <c r="D2556" s="194"/>
      <c r="E2556" s="194"/>
      <c r="F2556" s="194"/>
      <c r="G2556" s="194"/>
      <c r="H2556" s="194"/>
      <c r="I2556" s="194"/>
      <c r="J2556" s="194"/>
      <c r="K2556" s="194"/>
      <c r="L2556" s="194"/>
    </row>
    <row r="2557" spans="2:12" x14ac:dyDescent="0.3">
      <c r="B2557" s="194"/>
      <c r="C2557" s="194"/>
      <c r="D2557" s="194"/>
      <c r="E2557" s="194"/>
      <c r="F2557" s="194"/>
      <c r="G2557" s="194"/>
      <c r="H2557" s="194"/>
      <c r="I2557" s="194"/>
      <c r="J2557" s="194"/>
      <c r="K2557" s="194"/>
      <c r="L2557" s="194"/>
    </row>
    <row r="2558" spans="2:12" x14ac:dyDescent="0.3">
      <c r="B2558" s="194"/>
      <c r="C2558" s="194"/>
      <c r="D2558" s="194"/>
      <c r="E2558" s="194"/>
      <c r="F2558" s="194"/>
      <c r="G2558" s="194"/>
      <c r="H2558" s="194"/>
      <c r="I2558" s="194"/>
      <c r="J2558" s="194"/>
      <c r="K2558" s="194"/>
      <c r="L2558" s="194"/>
    </row>
    <row r="2559" spans="2:12" x14ac:dyDescent="0.3">
      <c r="B2559" s="194"/>
      <c r="C2559" s="194"/>
      <c r="D2559" s="194"/>
      <c r="E2559" s="194"/>
      <c r="F2559" s="194"/>
      <c r="G2559" s="194"/>
      <c r="H2559" s="194"/>
      <c r="I2559" s="194"/>
      <c r="J2559" s="194"/>
      <c r="K2559" s="194"/>
      <c r="L2559" s="194"/>
    </row>
    <row r="2560" spans="2:12" x14ac:dyDescent="0.3">
      <c r="B2560" s="194"/>
      <c r="C2560" s="194"/>
      <c r="D2560" s="194"/>
      <c r="E2560" s="194"/>
      <c r="F2560" s="194"/>
      <c r="G2560" s="194"/>
      <c r="H2560" s="194"/>
      <c r="I2560" s="194"/>
      <c r="J2560" s="194"/>
      <c r="K2560" s="194"/>
      <c r="L2560" s="194"/>
    </row>
    <row r="2561" spans="2:12" x14ac:dyDescent="0.3">
      <c r="B2561" s="194"/>
      <c r="C2561" s="194"/>
      <c r="D2561" s="194"/>
      <c r="E2561" s="194"/>
      <c r="F2561" s="194"/>
      <c r="G2561" s="194"/>
      <c r="H2561" s="194"/>
      <c r="I2561" s="194"/>
      <c r="J2561" s="194"/>
      <c r="K2561" s="194"/>
      <c r="L2561" s="194"/>
    </row>
    <row r="2562" spans="2:12" x14ac:dyDescent="0.3">
      <c r="B2562" s="194"/>
      <c r="C2562" s="194"/>
      <c r="D2562" s="194"/>
      <c r="E2562" s="194"/>
      <c r="F2562" s="194"/>
      <c r="G2562" s="194"/>
      <c r="H2562" s="194"/>
      <c r="I2562" s="194"/>
      <c r="J2562" s="194"/>
      <c r="K2562" s="194"/>
      <c r="L2562" s="194"/>
    </row>
    <row r="2563" spans="2:12" x14ac:dyDescent="0.3">
      <c r="B2563" s="194"/>
      <c r="C2563" s="194"/>
      <c r="D2563" s="194"/>
      <c r="E2563" s="194"/>
      <c r="F2563" s="194"/>
      <c r="G2563" s="194"/>
      <c r="H2563" s="194"/>
      <c r="I2563" s="194"/>
      <c r="J2563" s="194"/>
      <c r="K2563" s="194"/>
      <c r="L2563" s="194"/>
    </row>
    <row r="2564" spans="2:12" x14ac:dyDescent="0.3">
      <c r="B2564" s="194"/>
      <c r="C2564" s="194"/>
      <c r="D2564" s="194"/>
      <c r="E2564" s="194"/>
      <c r="F2564" s="194"/>
      <c r="G2564" s="194"/>
      <c r="H2564" s="194"/>
      <c r="I2564" s="194"/>
      <c r="J2564" s="194"/>
      <c r="K2564" s="194"/>
      <c r="L2564" s="194"/>
    </row>
    <row r="2565" spans="2:12" x14ac:dyDescent="0.3">
      <c r="B2565" s="194"/>
      <c r="C2565" s="194"/>
      <c r="D2565" s="194"/>
      <c r="E2565" s="194"/>
      <c r="F2565" s="194"/>
      <c r="G2565" s="194"/>
      <c r="H2565" s="194"/>
      <c r="I2565" s="194"/>
      <c r="J2565" s="194"/>
      <c r="K2565" s="194"/>
      <c r="L2565" s="194"/>
    </row>
    <row r="2566" spans="2:12" x14ac:dyDescent="0.3">
      <c r="B2566" s="194"/>
      <c r="C2566" s="194"/>
      <c r="D2566" s="194"/>
      <c r="E2566" s="194"/>
      <c r="F2566" s="194"/>
      <c r="G2566" s="194"/>
      <c r="H2566" s="194"/>
      <c r="I2566" s="194"/>
      <c r="J2566" s="194"/>
      <c r="K2566" s="194"/>
      <c r="L2566" s="194"/>
    </row>
    <row r="2567" spans="2:12" x14ac:dyDescent="0.3">
      <c r="B2567" s="194"/>
      <c r="C2567" s="194"/>
      <c r="D2567" s="194"/>
      <c r="E2567" s="194"/>
      <c r="F2567" s="194"/>
      <c r="G2567" s="194"/>
      <c r="H2567" s="194"/>
      <c r="I2567" s="194"/>
      <c r="J2567" s="194"/>
      <c r="K2567" s="194"/>
      <c r="L2567" s="194"/>
    </row>
    <row r="2568" spans="2:12" x14ac:dyDescent="0.3">
      <c r="B2568" s="194"/>
      <c r="C2568" s="194"/>
      <c r="D2568" s="194"/>
      <c r="E2568" s="194"/>
      <c r="F2568" s="194"/>
      <c r="G2568" s="194"/>
      <c r="H2568" s="194"/>
      <c r="I2568" s="194"/>
      <c r="J2568" s="194"/>
      <c r="K2568" s="194"/>
      <c r="L2568" s="194"/>
    </row>
    <row r="2569" spans="2:12" x14ac:dyDescent="0.3">
      <c r="B2569" s="194"/>
      <c r="C2569" s="194"/>
      <c r="D2569" s="194"/>
      <c r="E2569" s="194"/>
      <c r="F2569" s="194"/>
      <c r="G2569" s="194"/>
      <c r="H2569" s="194"/>
      <c r="I2569" s="194"/>
      <c r="J2569" s="194"/>
      <c r="K2569" s="194"/>
      <c r="L2569" s="194"/>
    </row>
    <row r="2570" spans="2:12" x14ac:dyDescent="0.3">
      <c r="B2570" s="194"/>
      <c r="C2570" s="194"/>
      <c r="D2570" s="194"/>
      <c r="E2570" s="194"/>
      <c r="F2570" s="194"/>
      <c r="G2570" s="194"/>
      <c r="H2570" s="194"/>
      <c r="I2570" s="194"/>
      <c r="J2570" s="194"/>
      <c r="K2570" s="194"/>
      <c r="L2570" s="194"/>
    </row>
    <row r="2571" spans="2:12" x14ac:dyDescent="0.3">
      <c r="B2571" s="194"/>
      <c r="C2571" s="194"/>
      <c r="D2571" s="194"/>
      <c r="E2571" s="194"/>
      <c r="F2571" s="194"/>
      <c r="G2571" s="194"/>
      <c r="H2571" s="194"/>
      <c r="I2571" s="194"/>
      <c r="J2571" s="194"/>
      <c r="K2571" s="194"/>
      <c r="L2571" s="194"/>
    </row>
    <row r="2572" spans="2:12" x14ac:dyDescent="0.3">
      <c r="B2572" s="194"/>
      <c r="C2572" s="194"/>
      <c r="D2572" s="194"/>
      <c r="E2572" s="194"/>
      <c r="F2572" s="194"/>
      <c r="G2572" s="194"/>
      <c r="H2572" s="194"/>
      <c r="I2572" s="194"/>
      <c r="J2572" s="194"/>
      <c r="K2572" s="194"/>
      <c r="L2572" s="194"/>
    </row>
    <row r="2573" spans="2:12" x14ac:dyDescent="0.3">
      <c r="B2573" s="194"/>
      <c r="C2573" s="194"/>
      <c r="D2573" s="194"/>
      <c r="E2573" s="194"/>
      <c r="F2573" s="194"/>
      <c r="G2573" s="194"/>
      <c r="H2573" s="194"/>
      <c r="I2573" s="194"/>
      <c r="J2573" s="194"/>
      <c r="K2573" s="194"/>
      <c r="L2573" s="194"/>
    </row>
    <row r="2574" spans="2:12" x14ac:dyDescent="0.3">
      <c r="B2574" s="194"/>
      <c r="C2574" s="194"/>
      <c r="D2574" s="194"/>
      <c r="E2574" s="194"/>
      <c r="F2574" s="194"/>
      <c r="G2574" s="194"/>
      <c r="H2574" s="194"/>
      <c r="I2574" s="194"/>
      <c r="J2574" s="194"/>
      <c r="K2574" s="194"/>
      <c r="L2574" s="194"/>
    </row>
    <row r="2575" spans="2:12" x14ac:dyDescent="0.3">
      <c r="B2575" s="194"/>
      <c r="C2575" s="194"/>
      <c r="D2575" s="194"/>
      <c r="E2575" s="194"/>
      <c r="F2575" s="194"/>
      <c r="G2575" s="194"/>
      <c r="H2575" s="194"/>
      <c r="I2575" s="194"/>
      <c r="J2575" s="194"/>
      <c r="K2575" s="194"/>
      <c r="L2575" s="194"/>
    </row>
    <row r="2576" spans="2:12" x14ac:dyDescent="0.3">
      <c r="B2576" s="194"/>
      <c r="C2576" s="194"/>
      <c r="D2576" s="194"/>
      <c r="E2576" s="194"/>
      <c r="F2576" s="194"/>
      <c r="G2576" s="194"/>
      <c r="H2576" s="194"/>
      <c r="I2576" s="194"/>
      <c r="J2576" s="194"/>
      <c r="K2576" s="194"/>
      <c r="L2576" s="194"/>
    </row>
    <row r="2577" spans="2:12" x14ac:dyDescent="0.3">
      <c r="B2577" s="194"/>
      <c r="C2577" s="194"/>
      <c r="D2577" s="194"/>
      <c r="E2577" s="194"/>
      <c r="F2577" s="194"/>
      <c r="G2577" s="194"/>
      <c r="H2577" s="194"/>
      <c r="I2577" s="194"/>
      <c r="J2577" s="194"/>
      <c r="K2577" s="194"/>
      <c r="L2577" s="194"/>
    </row>
    <row r="2578" spans="2:12" x14ac:dyDescent="0.3">
      <c r="B2578" s="194"/>
      <c r="C2578" s="194"/>
      <c r="D2578" s="194"/>
      <c r="E2578" s="194"/>
      <c r="F2578" s="194"/>
      <c r="G2578" s="194"/>
      <c r="H2578" s="194"/>
      <c r="I2578" s="194"/>
      <c r="J2578" s="194"/>
      <c r="K2578" s="194"/>
      <c r="L2578" s="194"/>
    </row>
    <row r="2579" spans="2:12" x14ac:dyDescent="0.3">
      <c r="B2579" s="194"/>
      <c r="C2579" s="194"/>
      <c r="D2579" s="194"/>
      <c r="E2579" s="194"/>
      <c r="F2579" s="194"/>
      <c r="G2579" s="194"/>
      <c r="H2579" s="194"/>
      <c r="I2579" s="194"/>
      <c r="J2579" s="194"/>
      <c r="K2579" s="194"/>
      <c r="L2579" s="194"/>
    </row>
    <row r="2580" spans="2:12" x14ac:dyDescent="0.3">
      <c r="B2580" s="194"/>
      <c r="C2580" s="194"/>
      <c r="D2580" s="194"/>
      <c r="E2580" s="194"/>
      <c r="F2580" s="194"/>
      <c r="G2580" s="194"/>
      <c r="H2580" s="194"/>
      <c r="I2580" s="194"/>
      <c r="J2580" s="194"/>
      <c r="K2580" s="194"/>
      <c r="L2580" s="194"/>
    </row>
    <row r="2581" spans="2:12" x14ac:dyDescent="0.3">
      <c r="B2581" s="194"/>
      <c r="C2581" s="194"/>
      <c r="D2581" s="194"/>
      <c r="E2581" s="194"/>
      <c r="F2581" s="194"/>
      <c r="G2581" s="194"/>
      <c r="H2581" s="194"/>
      <c r="I2581" s="194"/>
      <c r="J2581" s="194"/>
      <c r="K2581" s="194"/>
      <c r="L2581" s="194"/>
    </row>
    <row r="2582" spans="2:12" x14ac:dyDescent="0.3">
      <c r="B2582" s="194"/>
      <c r="C2582" s="194"/>
      <c r="D2582" s="194"/>
      <c r="E2582" s="194"/>
      <c r="F2582" s="194"/>
      <c r="G2582" s="194"/>
      <c r="H2582" s="194"/>
      <c r="I2582" s="194"/>
      <c r="J2582" s="194"/>
      <c r="K2582" s="194"/>
      <c r="L2582" s="194"/>
    </row>
    <row r="2583" spans="2:12" x14ac:dyDescent="0.3">
      <c r="B2583" s="194"/>
      <c r="C2583" s="194"/>
      <c r="D2583" s="194"/>
      <c r="E2583" s="194"/>
      <c r="F2583" s="194"/>
      <c r="G2583" s="194"/>
      <c r="H2583" s="194"/>
      <c r="I2583" s="194"/>
      <c r="J2583" s="194"/>
      <c r="K2583" s="194"/>
      <c r="L2583" s="194"/>
    </row>
    <row r="2584" spans="2:12" x14ac:dyDescent="0.3">
      <c r="B2584" s="194"/>
      <c r="C2584" s="194"/>
      <c r="D2584" s="194"/>
      <c r="E2584" s="194"/>
      <c r="F2584" s="194"/>
      <c r="G2584" s="194"/>
      <c r="H2584" s="194"/>
      <c r="I2584" s="194"/>
      <c r="J2584" s="194"/>
      <c r="K2584" s="194"/>
      <c r="L2584" s="194"/>
    </row>
    <row r="2585" spans="2:12" x14ac:dyDescent="0.3">
      <c r="B2585" s="194"/>
      <c r="C2585" s="194"/>
      <c r="D2585" s="194"/>
      <c r="E2585" s="194"/>
      <c r="F2585" s="194"/>
      <c r="G2585" s="194"/>
      <c r="H2585" s="194"/>
      <c r="I2585" s="194"/>
      <c r="J2585" s="194"/>
      <c r="K2585" s="194"/>
      <c r="L2585" s="194"/>
    </row>
    <row r="2586" spans="2:12" x14ac:dyDescent="0.3">
      <c r="B2586" s="194"/>
      <c r="C2586" s="194"/>
      <c r="D2586" s="194"/>
      <c r="E2586" s="194"/>
      <c r="F2586" s="194"/>
      <c r="G2586" s="194"/>
      <c r="H2586" s="194"/>
      <c r="I2586" s="194"/>
      <c r="J2586" s="194"/>
      <c r="K2586" s="194"/>
      <c r="L2586" s="194"/>
    </row>
    <row r="2587" spans="2:12" x14ac:dyDescent="0.3">
      <c r="B2587" s="194"/>
      <c r="C2587" s="194"/>
      <c r="D2587" s="194"/>
      <c r="E2587" s="194"/>
      <c r="F2587" s="194"/>
      <c r="G2587" s="194"/>
      <c r="H2587" s="194"/>
      <c r="I2587" s="194"/>
      <c r="J2587" s="194"/>
      <c r="K2587" s="194"/>
      <c r="L2587" s="194"/>
    </row>
    <row r="2588" spans="2:12" x14ac:dyDescent="0.3">
      <c r="B2588" s="194"/>
      <c r="C2588" s="194"/>
      <c r="D2588" s="194"/>
      <c r="E2588" s="194"/>
      <c r="F2588" s="194"/>
      <c r="G2588" s="194"/>
      <c r="H2588" s="194"/>
      <c r="I2588" s="194"/>
      <c r="J2588" s="194"/>
      <c r="K2588" s="194"/>
      <c r="L2588" s="194"/>
    </row>
    <row r="2589" spans="2:12" x14ac:dyDescent="0.3">
      <c r="B2589" s="194"/>
      <c r="C2589" s="194"/>
      <c r="D2589" s="194"/>
      <c r="E2589" s="194"/>
      <c r="F2589" s="194"/>
      <c r="G2589" s="194"/>
      <c r="H2589" s="194"/>
      <c r="I2589" s="194"/>
      <c r="J2589" s="194"/>
      <c r="K2589" s="194"/>
      <c r="L2589" s="194"/>
    </row>
    <row r="2590" spans="2:12" x14ac:dyDescent="0.3">
      <c r="B2590" s="194"/>
      <c r="C2590" s="194"/>
      <c r="D2590" s="194"/>
      <c r="E2590" s="194"/>
      <c r="F2590" s="194"/>
      <c r="G2590" s="194"/>
      <c r="H2590" s="194"/>
      <c r="I2590" s="194"/>
      <c r="J2590" s="194"/>
      <c r="K2590" s="194"/>
      <c r="L2590" s="194"/>
    </row>
    <row r="2591" spans="2:12" x14ac:dyDescent="0.3">
      <c r="B2591" s="194"/>
      <c r="C2591" s="194"/>
      <c r="D2591" s="194"/>
      <c r="E2591" s="194"/>
      <c r="F2591" s="194"/>
      <c r="G2591" s="194"/>
      <c r="H2591" s="194"/>
      <c r="I2591" s="194"/>
      <c r="J2591" s="194"/>
      <c r="K2591" s="194"/>
      <c r="L2591" s="194"/>
    </row>
    <row r="2592" spans="2:12" x14ac:dyDescent="0.3">
      <c r="B2592" s="194"/>
      <c r="C2592" s="194"/>
      <c r="D2592" s="194"/>
      <c r="E2592" s="194"/>
      <c r="F2592" s="194"/>
      <c r="G2592" s="194"/>
      <c r="H2592" s="194"/>
      <c r="I2592" s="194"/>
      <c r="J2592" s="194"/>
      <c r="K2592" s="194"/>
      <c r="L2592" s="194"/>
    </row>
    <row r="2593" spans="2:12" x14ac:dyDescent="0.3">
      <c r="B2593" s="194"/>
      <c r="C2593" s="194"/>
      <c r="D2593" s="194"/>
      <c r="E2593" s="194"/>
      <c r="F2593" s="194"/>
      <c r="G2593" s="194"/>
      <c r="H2593" s="194"/>
      <c r="I2593" s="194"/>
      <c r="J2593" s="194"/>
      <c r="K2593" s="194"/>
      <c r="L2593" s="194"/>
    </row>
    <row r="2594" spans="2:12" x14ac:dyDescent="0.3">
      <c r="B2594" s="194"/>
      <c r="C2594" s="194"/>
      <c r="D2594" s="194"/>
      <c r="E2594" s="194"/>
      <c r="F2594" s="194"/>
      <c r="G2594" s="194"/>
      <c r="H2594" s="194"/>
      <c r="I2594" s="194"/>
      <c r="J2594" s="194"/>
      <c r="K2594" s="194"/>
      <c r="L2594" s="194"/>
    </row>
    <row r="2595" spans="2:12" x14ac:dyDescent="0.3">
      <c r="B2595" s="194"/>
      <c r="C2595" s="194"/>
      <c r="D2595" s="194"/>
      <c r="E2595" s="194"/>
      <c r="F2595" s="194"/>
      <c r="G2595" s="194"/>
      <c r="H2595" s="194"/>
      <c r="I2595" s="194"/>
      <c r="J2595" s="194"/>
      <c r="K2595" s="194"/>
      <c r="L2595" s="194"/>
    </row>
    <row r="2596" spans="2:12" x14ac:dyDescent="0.3">
      <c r="B2596" s="194"/>
      <c r="C2596" s="194"/>
      <c r="D2596" s="194"/>
      <c r="E2596" s="194"/>
      <c r="F2596" s="194"/>
      <c r="G2596" s="194"/>
      <c r="H2596" s="194"/>
      <c r="I2596" s="194"/>
      <c r="J2596" s="194"/>
      <c r="K2596" s="194"/>
      <c r="L2596" s="194"/>
    </row>
    <row r="2597" spans="2:12" x14ac:dyDescent="0.3">
      <c r="B2597" s="194"/>
      <c r="C2597" s="194"/>
      <c r="D2597" s="194"/>
      <c r="E2597" s="194"/>
      <c r="F2597" s="194"/>
      <c r="G2597" s="194"/>
      <c r="H2597" s="194"/>
      <c r="I2597" s="194"/>
      <c r="J2597" s="194"/>
      <c r="K2597" s="194"/>
      <c r="L2597" s="194"/>
    </row>
    <row r="2598" spans="2:12" x14ac:dyDescent="0.3">
      <c r="B2598" s="194"/>
      <c r="C2598" s="194"/>
      <c r="D2598" s="194"/>
      <c r="E2598" s="194"/>
      <c r="F2598" s="194"/>
      <c r="G2598" s="194"/>
      <c r="H2598" s="194"/>
      <c r="I2598" s="194"/>
      <c r="J2598" s="194"/>
      <c r="K2598" s="194"/>
      <c r="L2598" s="194"/>
    </row>
    <row r="2599" spans="2:12" x14ac:dyDescent="0.3">
      <c r="B2599" s="194"/>
      <c r="C2599" s="194"/>
      <c r="D2599" s="194"/>
      <c r="E2599" s="194"/>
      <c r="F2599" s="194"/>
      <c r="G2599" s="194"/>
      <c r="H2599" s="194"/>
      <c r="I2599" s="194"/>
      <c r="J2599" s="194"/>
      <c r="K2599" s="194"/>
      <c r="L2599" s="194"/>
    </row>
    <row r="2600" spans="2:12" x14ac:dyDescent="0.3">
      <c r="B2600" s="194"/>
      <c r="C2600" s="194"/>
      <c r="D2600" s="194"/>
      <c r="E2600" s="194"/>
      <c r="F2600" s="194"/>
      <c r="G2600" s="194"/>
      <c r="H2600" s="194"/>
      <c r="I2600" s="194"/>
      <c r="J2600" s="194"/>
      <c r="K2600" s="194"/>
      <c r="L2600" s="194"/>
    </row>
    <row r="2601" spans="2:12" x14ac:dyDescent="0.3">
      <c r="B2601" s="194"/>
      <c r="C2601" s="194"/>
      <c r="D2601" s="194"/>
      <c r="E2601" s="194"/>
      <c r="F2601" s="194"/>
      <c r="G2601" s="194"/>
      <c r="H2601" s="194"/>
      <c r="I2601" s="194"/>
      <c r="J2601" s="194"/>
      <c r="K2601" s="194"/>
      <c r="L2601" s="194"/>
    </row>
    <row r="2602" spans="2:12" x14ac:dyDescent="0.3">
      <c r="B2602" s="194"/>
      <c r="C2602" s="194"/>
      <c r="D2602" s="194"/>
      <c r="E2602" s="194"/>
      <c r="F2602" s="194"/>
      <c r="G2602" s="194"/>
      <c r="H2602" s="194"/>
      <c r="I2602" s="194"/>
      <c r="J2602" s="194"/>
      <c r="K2602" s="194"/>
      <c r="L2602" s="194"/>
    </row>
    <row r="2603" spans="2:12" x14ac:dyDescent="0.3">
      <c r="B2603" s="194"/>
      <c r="C2603" s="194"/>
      <c r="D2603" s="194"/>
      <c r="E2603" s="194"/>
      <c r="F2603" s="194"/>
      <c r="G2603" s="194"/>
      <c r="H2603" s="194"/>
      <c r="I2603" s="194"/>
      <c r="J2603" s="194"/>
      <c r="K2603" s="194"/>
      <c r="L2603" s="194"/>
    </row>
    <row r="2604" spans="2:12" x14ac:dyDescent="0.3">
      <c r="B2604" s="194"/>
      <c r="C2604" s="194"/>
      <c r="D2604" s="194"/>
      <c r="E2604" s="194"/>
      <c r="F2604" s="194"/>
      <c r="G2604" s="194"/>
      <c r="H2604" s="194"/>
      <c r="I2604" s="194"/>
      <c r="J2604" s="194"/>
      <c r="K2604" s="194"/>
      <c r="L2604" s="194"/>
    </row>
    <row r="2605" spans="2:12" x14ac:dyDescent="0.3">
      <c r="B2605" s="194"/>
      <c r="C2605" s="194"/>
      <c r="D2605" s="194"/>
      <c r="E2605" s="194"/>
      <c r="F2605" s="194"/>
      <c r="G2605" s="194"/>
      <c r="H2605" s="194"/>
      <c r="I2605" s="194"/>
      <c r="J2605" s="194"/>
      <c r="K2605" s="194"/>
      <c r="L2605" s="194"/>
    </row>
    <row r="2606" spans="2:12" x14ac:dyDescent="0.3">
      <c r="B2606" s="194"/>
      <c r="C2606" s="194"/>
      <c r="D2606" s="194"/>
      <c r="E2606" s="194"/>
      <c r="F2606" s="194"/>
      <c r="G2606" s="194"/>
      <c r="H2606" s="194"/>
      <c r="I2606" s="194"/>
      <c r="J2606" s="194"/>
      <c r="K2606" s="194"/>
      <c r="L2606" s="194"/>
    </row>
    <row r="2607" spans="2:12" x14ac:dyDescent="0.3">
      <c r="B2607" s="194"/>
      <c r="C2607" s="194"/>
      <c r="D2607" s="194"/>
      <c r="E2607" s="194"/>
      <c r="F2607" s="194"/>
      <c r="G2607" s="194"/>
      <c r="H2607" s="194"/>
      <c r="I2607" s="194"/>
      <c r="J2607" s="194"/>
      <c r="K2607" s="194"/>
      <c r="L2607" s="194"/>
    </row>
    <row r="2608" spans="2:12" x14ac:dyDescent="0.3">
      <c r="B2608" s="194"/>
      <c r="C2608" s="194"/>
      <c r="D2608" s="194"/>
      <c r="E2608" s="194"/>
      <c r="F2608" s="194"/>
      <c r="G2608" s="194"/>
      <c r="H2608" s="194"/>
      <c r="I2608" s="194"/>
      <c r="J2608" s="194"/>
      <c r="K2608" s="194"/>
      <c r="L2608" s="194"/>
    </row>
    <row r="2609" spans="2:12" x14ac:dyDescent="0.3">
      <c r="B2609" s="194"/>
      <c r="C2609" s="194"/>
      <c r="D2609" s="194"/>
      <c r="E2609" s="194"/>
      <c r="F2609" s="194"/>
      <c r="G2609" s="194"/>
      <c r="H2609" s="194"/>
      <c r="I2609" s="194"/>
      <c r="J2609" s="194"/>
      <c r="K2609" s="194"/>
      <c r="L2609" s="194"/>
    </row>
    <row r="2610" spans="2:12" x14ac:dyDescent="0.3">
      <c r="B2610" s="194"/>
      <c r="C2610" s="194"/>
      <c r="D2610" s="194"/>
      <c r="E2610" s="194"/>
      <c r="F2610" s="194"/>
      <c r="G2610" s="194"/>
      <c r="H2610" s="194"/>
      <c r="I2610" s="194"/>
      <c r="J2610" s="194"/>
      <c r="K2610" s="194"/>
      <c r="L2610" s="194"/>
    </row>
    <row r="2611" spans="2:12" x14ac:dyDescent="0.3">
      <c r="B2611" s="194"/>
      <c r="C2611" s="194"/>
      <c r="D2611" s="194"/>
      <c r="E2611" s="194"/>
      <c r="F2611" s="194"/>
      <c r="G2611" s="194"/>
      <c r="H2611" s="194"/>
      <c r="I2611" s="194"/>
      <c r="J2611" s="194"/>
      <c r="K2611" s="194"/>
      <c r="L2611" s="194"/>
    </row>
    <row r="2612" spans="2:12" x14ac:dyDescent="0.3">
      <c r="B2612" s="194"/>
      <c r="C2612" s="194"/>
      <c r="D2612" s="194"/>
      <c r="E2612" s="194"/>
      <c r="F2612" s="194"/>
      <c r="G2612" s="194"/>
      <c r="H2612" s="194"/>
      <c r="I2612" s="194"/>
      <c r="J2612" s="194"/>
      <c r="K2612" s="194"/>
      <c r="L2612" s="194"/>
    </row>
    <row r="2613" spans="2:12" x14ac:dyDescent="0.3">
      <c r="B2613" s="194"/>
      <c r="C2613" s="194"/>
      <c r="D2613" s="194"/>
      <c r="E2613" s="194"/>
      <c r="F2613" s="194"/>
      <c r="G2613" s="194"/>
      <c r="H2613" s="194"/>
      <c r="I2613" s="194"/>
      <c r="J2613" s="194"/>
      <c r="K2613" s="194"/>
      <c r="L2613" s="194"/>
    </row>
    <row r="2614" spans="2:12" x14ac:dyDescent="0.3">
      <c r="B2614" s="194"/>
      <c r="C2614" s="194"/>
      <c r="D2614" s="194"/>
      <c r="E2614" s="194"/>
      <c r="F2614" s="194"/>
      <c r="G2614" s="194"/>
      <c r="H2614" s="194"/>
      <c r="I2614" s="194"/>
      <c r="J2614" s="194"/>
      <c r="K2614" s="194"/>
      <c r="L2614" s="194"/>
    </row>
    <row r="2615" spans="2:12" x14ac:dyDescent="0.3">
      <c r="B2615" s="194"/>
      <c r="C2615" s="194"/>
      <c r="D2615" s="194"/>
      <c r="E2615" s="194"/>
      <c r="F2615" s="194"/>
      <c r="G2615" s="194"/>
      <c r="H2615" s="194"/>
      <c r="I2615" s="194"/>
      <c r="J2615" s="194"/>
      <c r="K2615" s="194"/>
      <c r="L2615" s="194"/>
    </row>
    <row r="2616" spans="2:12" x14ac:dyDescent="0.3">
      <c r="B2616" s="194"/>
      <c r="C2616" s="194"/>
      <c r="D2616" s="194"/>
      <c r="E2616" s="194"/>
      <c r="F2616" s="194"/>
      <c r="G2616" s="194"/>
      <c r="H2616" s="194"/>
      <c r="I2616" s="194"/>
      <c r="J2616" s="194"/>
      <c r="K2616" s="194"/>
      <c r="L2616" s="194"/>
    </row>
    <row r="2617" spans="2:12" x14ac:dyDescent="0.3">
      <c r="B2617" s="194"/>
      <c r="C2617" s="194"/>
      <c r="D2617" s="194"/>
      <c r="E2617" s="194"/>
      <c r="F2617" s="194"/>
      <c r="G2617" s="194"/>
      <c r="H2617" s="194"/>
      <c r="I2617" s="194"/>
      <c r="J2617" s="194"/>
      <c r="K2617" s="194"/>
      <c r="L2617" s="194"/>
    </row>
    <row r="2618" spans="2:12" x14ac:dyDescent="0.3">
      <c r="B2618" s="194"/>
      <c r="C2618" s="194"/>
      <c r="D2618" s="194"/>
      <c r="E2618" s="194"/>
      <c r="F2618" s="194"/>
      <c r="G2618" s="194"/>
      <c r="H2618" s="194"/>
      <c r="I2618" s="194"/>
      <c r="J2618" s="194"/>
      <c r="K2618" s="194"/>
      <c r="L2618" s="194"/>
    </row>
    <row r="2619" spans="2:12" x14ac:dyDescent="0.3">
      <c r="B2619" s="194"/>
      <c r="C2619" s="194"/>
      <c r="D2619" s="194"/>
      <c r="E2619" s="194"/>
      <c r="F2619" s="194"/>
      <c r="G2619" s="194"/>
      <c r="H2619" s="194"/>
      <c r="I2619" s="194"/>
      <c r="J2619" s="194"/>
      <c r="K2619" s="194"/>
      <c r="L2619" s="194"/>
    </row>
    <row r="2620" spans="2:12" x14ac:dyDescent="0.3">
      <c r="B2620" s="194"/>
      <c r="C2620" s="194"/>
      <c r="D2620" s="194"/>
      <c r="E2620" s="194"/>
      <c r="F2620" s="194"/>
      <c r="G2620" s="194"/>
      <c r="H2620" s="194"/>
      <c r="I2620" s="194"/>
      <c r="J2620" s="194"/>
      <c r="K2620" s="194"/>
      <c r="L2620" s="194"/>
    </row>
    <row r="2621" spans="2:12" x14ac:dyDescent="0.3">
      <c r="B2621" s="194"/>
      <c r="C2621" s="194"/>
      <c r="D2621" s="194"/>
      <c r="E2621" s="194"/>
      <c r="F2621" s="194"/>
      <c r="G2621" s="194"/>
      <c r="H2621" s="194"/>
      <c r="I2621" s="194"/>
      <c r="J2621" s="194"/>
      <c r="K2621" s="194"/>
      <c r="L2621" s="194"/>
    </row>
    <row r="2622" spans="2:12" x14ac:dyDescent="0.3">
      <c r="B2622" s="194"/>
      <c r="C2622" s="194"/>
      <c r="D2622" s="194"/>
      <c r="E2622" s="194"/>
      <c r="F2622" s="194"/>
      <c r="G2622" s="194"/>
      <c r="H2622" s="194"/>
      <c r="I2622" s="194"/>
      <c r="J2622" s="194"/>
      <c r="K2622" s="194"/>
      <c r="L2622" s="194"/>
    </row>
    <row r="2623" spans="2:12" x14ac:dyDescent="0.3">
      <c r="B2623" s="194"/>
      <c r="C2623" s="194"/>
      <c r="D2623" s="194"/>
      <c r="E2623" s="194"/>
      <c r="F2623" s="194"/>
      <c r="G2623" s="194"/>
      <c r="H2623" s="194"/>
      <c r="I2623" s="194"/>
      <c r="J2623" s="194"/>
      <c r="K2623" s="194"/>
      <c r="L2623" s="194"/>
    </row>
    <row r="2624" spans="2:12" x14ac:dyDescent="0.3">
      <c r="B2624" s="194"/>
      <c r="C2624" s="194"/>
      <c r="D2624" s="194"/>
      <c r="E2624" s="194"/>
      <c r="F2624" s="194"/>
      <c r="G2624" s="194"/>
      <c r="H2624" s="194"/>
      <c r="I2624" s="194"/>
      <c r="J2624" s="194"/>
      <c r="K2624" s="194"/>
      <c r="L2624" s="194"/>
    </row>
    <row r="2625" spans="2:12" x14ac:dyDescent="0.3">
      <c r="B2625" s="194"/>
      <c r="C2625" s="194"/>
      <c r="D2625" s="194"/>
      <c r="E2625" s="194"/>
      <c r="F2625" s="194"/>
      <c r="G2625" s="194"/>
      <c r="H2625" s="194"/>
      <c r="I2625" s="194"/>
      <c r="J2625" s="194"/>
      <c r="K2625" s="194"/>
      <c r="L2625" s="194"/>
    </row>
    <row r="2626" spans="2:12" x14ac:dyDescent="0.3">
      <c r="B2626" s="194"/>
      <c r="C2626" s="194"/>
      <c r="D2626" s="194"/>
      <c r="E2626" s="194"/>
      <c r="F2626" s="194"/>
      <c r="G2626" s="194"/>
      <c r="H2626" s="194"/>
      <c r="I2626" s="194"/>
      <c r="J2626" s="194"/>
      <c r="K2626" s="194"/>
      <c r="L2626" s="194"/>
    </row>
    <row r="2627" spans="2:12" x14ac:dyDescent="0.3">
      <c r="B2627" s="194"/>
      <c r="C2627" s="194"/>
      <c r="D2627" s="194"/>
      <c r="E2627" s="194"/>
      <c r="F2627" s="194"/>
      <c r="G2627" s="194"/>
      <c r="H2627" s="194"/>
      <c r="I2627" s="194"/>
      <c r="J2627" s="194"/>
      <c r="K2627" s="194"/>
      <c r="L2627" s="194"/>
    </row>
    <row r="2628" spans="2:12" x14ac:dyDescent="0.3">
      <c r="B2628" s="194"/>
      <c r="C2628" s="194"/>
      <c r="D2628" s="194"/>
      <c r="E2628" s="194"/>
      <c r="F2628" s="194"/>
      <c r="G2628" s="194"/>
      <c r="H2628" s="194"/>
      <c r="I2628" s="194"/>
      <c r="J2628" s="194"/>
      <c r="K2628" s="194"/>
      <c r="L2628" s="194"/>
    </row>
    <row r="2629" spans="2:12" x14ac:dyDescent="0.3">
      <c r="B2629" s="194"/>
      <c r="C2629" s="194"/>
      <c r="D2629" s="194"/>
      <c r="E2629" s="194"/>
      <c r="F2629" s="194"/>
      <c r="G2629" s="194"/>
      <c r="H2629" s="194"/>
      <c r="I2629" s="194"/>
      <c r="J2629" s="194"/>
      <c r="K2629" s="194"/>
      <c r="L2629" s="194"/>
    </row>
    <row r="2630" spans="2:12" x14ac:dyDescent="0.3">
      <c r="B2630" s="194"/>
      <c r="C2630" s="194"/>
      <c r="D2630" s="194"/>
      <c r="E2630" s="194"/>
      <c r="F2630" s="194"/>
      <c r="G2630" s="194"/>
      <c r="H2630" s="194"/>
      <c r="I2630" s="194"/>
      <c r="J2630" s="194"/>
      <c r="K2630" s="194"/>
      <c r="L2630" s="194"/>
    </row>
    <row r="2631" spans="2:12" x14ac:dyDescent="0.3">
      <c r="B2631" s="194"/>
      <c r="C2631" s="194"/>
      <c r="D2631" s="194"/>
      <c r="E2631" s="194"/>
      <c r="F2631" s="194"/>
      <c r="G2631" s="194"/>
      <c r="H2631" s="194"/>
      <c r="I2631" s="194"/>
      <c r="J2631" s="194"/>
      <c r="K2631" s="194"/>
      <c r="L2631" s="194"/>
    </row>
    <row r="2632" spans="2:12" x14ac:dyDescent="0.3">
      <c r="B2632" s="194"/>
      <c r="C2632" s="194"/>
      <c r="D2632" s="194"/>
      <c r="E2632" s="194"/>
      <c r="F2632" s="194"/>
      <c r="G2632" s="194"/>
      <c r="H2632" s="194"/>
      <c r="I2632" s="194"/>
      <c r="J2632" s="194"/>
      <c r="K2632" s="194"/>
      <c r="L2632" s="194"/>
    </row>
    <row r="2633" spans="2:12" x14ac:dyDescent="0.3">
      <c r="B2633" s="194"/>
      <c r="C2633" s="194"/>
      <c r="D2633" s="194"/>
      <c r="E2633" s="194"/>
      <c r="F2633" s="194"/>
      <c r="G2633" s="194"/>
      <c r="H2633" s="194"/>
      <c r="I2633" s="194"/>
      <c r="J2633" s="194"/>
      <c r="K2633" s="194"/>
      <c r="L2633" s="194"/>
    </row>
    <row r="2634" spans="2:12" x14ac:dyDescent="0.3">
      <c r="B2634" s="194"/>
      <c r="C2634" s="194"/>
      <c r="D2634" s="194"/>
      <c r="E2634" s="194"/>
      <c r="F2634" s="194"/>
      <c r="G2634" s="194"/>
      <c r="H2634" s="194"/>
      <c r="I2634" s="194"/>
      <c r="J2634" s="194"/>
      <c r="K2634" s="194"/>
      <c r="L2634" s="194"/>
    </row>
    <row r="2635" spans="2:12" x14ac:dyDescent="0.3">
      <c r="B2635" s="194"/>
      <c r="C2635" s="194"/>
      <c r="D2635" s="194"/>
      <c r="E2635" s="194"/>
      <c r="F2635" s="194"/>
      <c r="G2635" s="194"/>
      <c r="H2635" s="194"/>
      <c r="I2635" s="194"/>
      <c r="J2635" s="194"/>
      <c r="K2635" s="194"/>
      <c r="L2635" s="194"/>
    </row>
    <row r="2636" spans="2:12" x14ac:dyDescent="0.3">
      <c r="B2636" s="194"/>
      <c r="C2636" s="194"/>
      <c r="D2636" s="194"/>
      <c r="E2636" s="194"/>
      <c r="F2636" s="194"/>
      <c r="G2636" s="194"/>
      <c r="H2636" s="194"/>
      <c r="I2636" s="194"/>
      <c r="J2636" s="194"/>
      <c r="K2636" s="194"/>
      <c r="L2636" s="194"/>
    </row>
    <row r="2637" spans="2:12" x14ac:dyDescent="0.3">
      <c r="B2637" s="194"/>
      <c r="C2637" s="194"/>
      <c r="D2637" s="194"/>
      <c r="E2637" s="194"/>
      <c r="F2637" s="194"/>
      <c r="G2637" s="194"/>
      <c r="H2637" s="194"/>
      <c r="I2637" s="194"/>
      <c r="J2637" s="194"/>
      <c r="K2637" s="194"/>
      <c r="L2637" s="194"/>
    </row>
    <row r="2638" spans="2:12" x14ac:dyDescent="0.3">
      <c r="B2638" s="194"/>
      <c r="C2638" s="194"/>
      <c r="D2638" s="194"/>
      <c r="E2638" s="194"/>
      <c r="F2638" s="194"/>
      <c r="G2638" s="194"/>
      <c r="H2638" s="194"/>
      <c r="I2638" s="194"/>
      <c r="J2638" s="194"/>
      <c r="K2638" s="194"/>
      <c r="L2638" s="194"/>
    </row>
    <row r="2639" spans="2:12" x14ac:dyDescent="0.3">
      <c r="B2639" s="194"/>
      <c r="C2639" s="194"/>
      <c r="D2639" s="194"/>
      <c r="E2639" s="194"/>
      <c r="F2639" s="194"/>
      <c r="G2639" s="194"/>
      <c r="H2639" s="194"/>
      <c r="I2639" s="194"/>
      <c r="J2639" s="194"/>
      <c r="K2639" s="194"/>
      <c r="L2639" s="194"/>
    </row>
    <row r="2640" spans="2:12" x14ac:dyDescent="0.3">
      <c r="B2640" s="194"/>
      <c r="C2640" s="194"/>
      <c r="D2640" s="194"/>
      <c r="E2640" s="194"/>
      <c r="F2640" s="194"/>
      <c r="G2640" s="194"/>
      <c r="H2640" s="194"/>
      <c r="I2640" s="194"/>
      <c r="J2640" s="194"/>
      <c r="K2640" s="194"/>
      <c r="L2640" s="194"/>
    </row>
    <row r="2641" spans="2:12" x14ac:dyDescent="0.3">
      <c r="B2641" s="194"/>
      <c r="C2641" s="194"/>
      <c r="D2641" s="194"/>
      <c r="E2641" s="194"/>
      <c r="F2641" s="194"/>
      <c r="G2641" s="194"/>
      <c r="H2641" s="194"/>
      <c r="I2641" s="194"/>
      <c r="J2641" s="194"/>
      <c r="K2641" s="194"/>
      <c r="L2641" s="194"/>
    </row>
    <row r="2642" spans="2:12" x14ac:dyDescent="0.3">
      <c r="B2642" s="194"/>
      <c r="C2642" s="194"/>
      <c r="D2642" s="194"/>
      <c r="E2642" s="194"/>
      <c r="F2642" s="194"/>
      <c r="G2642" s="194"/>
      <c r="H2642" s="194"/>
      <c r="I2642" s="194"/>
      <c r="J2642" s="194"/>
      <c r="K2642" s="194"/>
      <c r="L2642" s="194"/>
    </row>
    <row r="2643" spans="2:12" x14ac:dyDescent="0.3">
      <c r="B2643" s="194"/>
      <c r="C2643" s="194"/>
      <c r="D2643" s="194"/>
      <c r="E2643" s="194"/>
      <c r="F2643" s="194"/>
      <c r="G2643" s="194"/>
      <c r="H2643" s="194"/>
      <c r="I2643" s="194"/>
      <c r="J2643" s="194"/>
      <c r="K2643" s="194"/>
      <c r="L2643" s="194"/>
    </row>
    <row r="2644" spans="2:12" x14ac:dyDescent="0.3">
      <c r="B2644" s="194"/>
      <c r="C2644" s="194"/>
      <c r="D2644" s="194"/>
      <c r="E2644" s="194"/>
      <c r="F2644" s="194"/>
      <c r="G2644" s="194"/>
      <c r="H2644" s="194"/>
      <c r="I2644" s="194"/>
      <c r="J2644" s="194"/>
      <c r="K2644" s="194"/>
      <c r="L2644" s="194"/>
    </row>
    <row r="2645" spans="2:12" x14ac:dyDescent="0.3">
      <c r="B2645" s="194"/>
      <c r="C2645" s="194"/>
      <c r="D2645" s="194"/>
      <c r="E2645" s="194"/>
      <c r="F2645" s="194"/>
      <c r="G2645" s="194"/>
      <c r="H2645" s="194"/>
      <c r="I2645" s="194"/>
      <c r="J2645" s="194"/>
      <c r="K2645" s="194"/>
      <c r="L2645" s="194"/>
    </row>
    <row r="2646" spans="2:12" x14ac:dyDescent="0.3">
      <c r="B2646" s="194"/>
      <c r="C2646" s="194"/>
      <c r="D2646" s="194"/>
      <c r="E2646" s="194"/>
      <c r="F2646" s="194"/>
      <c r="G2646" s="194"/>
      <c r="H2646" s="194"/>
      <c r="I2646" s="194"/>
      <c r="J2646" s="194"/>
      <c r="K2646" s="194"/>
      <c r="L2646" s="194"/>
    </row>
    <row r="2647" spans="2:12" x14ac:dyDescent="0.3">
      <c r="B2647" s="194"/>
      <c r="C2647" s="194"/>
      <c r="D2647" s="194"/>
      <c r="E2647" s="194"/>
      <c r="F2647" s="194"/>
      <c r="G2647" s="194"/>
      <c r="H2647" s="194"/>
      <c r="I2647" s="194"/>
      <c r="J2647" s="194"/>
      <c r="K2647" s="194"/>
      <c r="L2647" s="194"/>
    </row>
    <row r="2648" spans="2:12" x14ac:dyDescent="0.3">
      <c r="B2648" s="194"/>
      <c r="C2648" s="194"/>
      <c r="D2648" s="194"/>
      <c r="E2648" s="194"/>
      <c r="F2648" s="194"/>
      <c r="G2648" s="194"/>
      <c r="H2648" s="194"/>
      <c r="I2648" s="194"/>
      <c r="J2648" s="194"/>
      <c r="K2648" s="194"/>
      <c r="L2648" s="194"/>
    </row>
    <row r="2649" spans="2:12" x14ac:dyDescent="0.3">
      <c r="B2649" s="194"/>
      <c r="C2649" s="194"/>
      <c r="D2649" s="194"/>
      <c r="E2649" s="194"/>
      <c r="F2649" s="194"/>
      <c r="G2649" s="194"/>
      <c r="H2649" s="194"/>
      <c r="I2649" s="194"/>
      <c r="J2649" s="194"/>
      <c r="K2649" s="194"/>
      <c r="L2649" s="194"/>
    </row>
    <row r="2650" spans="2:12" x14ac:dyDescent="0.3">
      <c r="B2650" s="194"/>
      <c r="C2650" s="194"/>
      <c r="D2650" s="194"/>
      <c r="E2650" s="194"/>
      <c r="F2650" s="194"/>
      <c r="G2650" s="194"/>
      <c r="H2650" s="194"/>
      <c r="I2650" s="194"/>
      <c r="J2650" s="194"/>
      <c r="K2650" s="194"/>
      <c r="L2650" s="194"/>
    </row>
    <row r="2651" spans="2:12" x14ac:dyDescent="0.3">
      <c r="B2651" s="194"/>
      <c r="C2651" s="194"/>
      <c r="D2651" s="194"/>
      <c r="E2651" s="194"/>
      <c r="F2651" s="194"/>
      <c r="G2651" s="194"/>
      <c r="H2651" s="194"/>
      <c r="I2651" s="194"/>
      <c r="J2651" s="194"/>
      <c r="K2651" s="194"/>
      <c r="L2651" s="194"/>
    </row>
    <row r="2652" spans="2:12" x14ac:dyDescent="0.3">
      <c r="B2652" s="194"/>
      <c r="C2652" s="194"/>
      <c r="D2652" s="194"/>
      <c r="E2652" s="194"/>
      <c r="F2652" s="194"/>
      <c r="G2652" s="194"/>
      <c r="H2652" s="194"/>
      <c r="I2652" s="194"/>
      <c r="J2652" s="194"/>
      <c r="K2652" s="194"/>
      <c r="L2652" s="194"/>
    </row>
    <row r="2653" spans="2:12" x14ac:dyDescent="0.3">
      <c r="B2653" s="194"/>
      <c r="C2653" s="194"/>
      <c r="D2653" s="194"/>
      <c r="E2653" s="194"/>
      <c r="F2653" s="194"/>
      <c r="G2653" s="194"/>
      <c r="H2653" s="194"/>
      <c r="I2653" s="194"/>
      <c r="J2653" s="194"/>
      <c r="K2653" s="194"/>
      <c r="L2653" s="194"/>
    </row>
    <row r="2654" spans="2:12" x14ac:dyDescent="0.3">
      <c r="B2654" s="194"/>
      <c r="C2654" s="194"/>
      <c r="D2654" s="194"/>
      <c r="E2654" s="194"/>
      <c r="F2654" s="194"/>
      <c r="G2654" s="194"/>
      <c r="H2654" s="194"/>
      <c r="I2654" s="194"/>
      <c r="J2654" s="194"/>
      <c r="K2654" s="194"/>
      <c r="L2654" s="194"/>
    </row>
    <row r="2655" spans="2:12" x14ac:dyDescent="0.3">
      <c r="B2655" s="194"/>
      <c r="C2655" s="194"/>
      <c r="D2655" s="194"/>
      <c r="E2655" s="194"/>
      <c r="F2655" s="194"/>
      <c r="G2655" s="194"/>
      <c r="H2655" s="194"/>
      <c r="I2655" s="194"/>
      <c r="J2655" s="194"/>
      <c r="K2655" s="194"/>
      <c r="L2655" s="194"/>
    </row>
    <row r="2656" spans="2:12" x14ac:dyDescent="0.3">
      <c r="B2656" s="194"/>
      <c r="C2656" s="194"/>
      <c r="D2656" s="194"/>
      <c r="E2656" s="194"/>
      <c r="F2656" s="194"/>
      <c r="G2656" s="194"/>
      <c r="H2656" s="194"/>
      <c r="I2656" s="194"/>
      <c r="J2656" s="194"/>
      <c r="K2656" s="194"/>
      <c r="L2656" s="194"/>
    </row>
    <row r="2657" spans="2:12" x14ac:dyDescent="0.3">
      <c r="B2657" s="194"/>
      <c r="C2657" s="194"/>
      <c r="D2657" s="194"/>
      <c r="E2657" s="194"/>
      <c r="F2657" s="194"/>
      <c r="G2657" s="194"/>
      <c r="H2657" s="194"/>
      <c r="I2657" s="194"/>
      <c r="J2657" s="194"/>
      <c r="K2657" s="194"/>
      <c r="L2657" s="194"/>
    </row>
    <row r="2658" spans="2:12" x14ac:dyDescent="0.3">
      <c r="B2658" s="194"/>
      <c r="C2658" s="194"/>
      <c r="D2658" s="194"/>
      <c r="E2658" s="194"/>
      <c r="F2658" s="194"/>
      <c r="G2658" s="194"/>
      <c r="H2658" s="194"/>
      <c r="I2658" s="194"/>
      <c r="J2658" s="194"/>
      <c r="K2658" s="194"/>
      <c r="L2658" s="194"/>
    </row>
    <row r="2659" spans="2:12" x14ac:dyDescent="0.3">
      <c r="B2659" s="194"/>
      <c r="C2659" s="194"/>
      <c r="D2659" s="194"/>
      <c r="E2659" s="194"/>
      <c r="F2659" s="194"/>
      <c r="G2659" s="194"/>
      <c r="H2659" s="194"/>
      <c r="I2659" s="194"/>
      <c r="J2659" s="194"/>
      <c r="K2659" s="194"/>
      <c r="L2659" s="194"/>
    </row>
  </sheetData>
  <sheetProtection algorithmName="SHA-512" hashValue="nzRfB4UtTfHP5BGzOEbvsum2Hpxn6fduI1oNAp2dlcUahEQVrQTjM1LDcscnRvMqPEDcfVHGYYHE2FSr+88NOQ==" saltValue="zUjNPr7DbJ3MT5IATJolCw==" spinCount="100000" sheet="1" sort="0" autoFilter="0"/>
  <autoFilter ref="A13:L998"/>
  <mergeCells count="1">
    <mergeCell ref="B6:H10"/>
  </mergeCells>
  <dataValidations count="1">
    <dataValidation allowBlank="1" showInputMessage="1" showErrorMessage="1" promptTitle="Hinweis erste Spalte" prompt="Diese Spalte bitte nicht überschreiben. In dieser Spalte wird die Strecke von einem Text &quot;5 km&quot; in eine Zahl &quot;5&quot; umgewandelt." sqref="A13"/>
  </dataValidations>
  <hyperlinks>
    <hyperlink ref="A5" location="Inhalt!A1" display="&lt;= Start"/>
  </hyperlinks>
  <pageMargins left="0.7" right="0.7" top="0.75" bottom="0.75" header="0.3" footer="0.3"/>
  <pageSetup paperSize="9"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5989"/>
    <pageSetUpPr fitToPage="1"/>
  </sheetPr>
  <dimension ref="A1:S340"/>
  <sheetViews>
    <sheetView showGridLines="0" workbookViewId="0">
      <selection activeCell="I4" sqref="I4"/>
    </sheetView>
  </sheetViews>
  <sheetFormatPr baseColWidth="10" defaultColWidth="0" defaultRowHeight="14.4" zeroHeight="1" x14ac:dyDescent="0.3"/>
  <cols>
    <col min="1" max="1" width="6.6640625" customWidth="1"/>
    <col min="2" max="2" width="2" customWidth="1"/>
    <col min="3" max="3" width="32.33203125" customWidth="1"/>
    <col min="4" max="4" width="17" customWidth="1"/>
    <col min="5" max="5" width="18" customWidth="1"/>
    <col min="6" max="6" width="17.33203125" customWidth="1"/>
    <col min="7" max="7" width="16.6640625" customWidth="1"/>
    <col min="8" max="8" width="11.5546875" customWidth="1"/>
    <col min="9" max="9" width="17.33203125" customWidth="1"/>
    <col min="10" max="10" width="12.6640625" customWidth="1"/>
    <col min="11" max="12" width="8.88671875" hidden="1" customWidth="1"/>
    <col min="13" max="13" width="18.33203125" hidden="1" customWidth="1"/>
    <col min="14" max="14" width="21.109375" hidden="1" customWidth="1"/>
    <col min="15" max="18" width="8.88671875" hidden="1" customWidth="1"/>
    <col min="19" max="19" width="17.44140625" hidden="1" customWidth="1"/>
    <col min="20" max="16384" width="8.88671875" hidden="1"/>
  </cols>
  <sheetData>
    <row r="1" spans="1:10" ht="12" customHeight="1" x14ac:dyDescent="0.3">
      <c r="A1" s="1"/>
      <c r="B1" s="1"/>
      <c r="C1" s="1"/>
      <c r="D1" s="1"/>
      <c r="E1" s="1"/>
      <c r="F1" s="1"/>
      <c r="G1" s="1"/>
      <c r="H1" s="1"/>
      <c r="I1" s="1"/>
      <c r="J1" s="1"/>
    </row>
    <row r="2" spans="1:10" ht="12" customHeight="1" x14ac:dyDescent="0.3">
      <c r="A2" s="1"/>
      <c r="B2" s="1"/>
      <c r="C2" s="1"/>
      <c r="D2" s="1"/>
      <c r="E2" s="1"/>
      <c r="F2" s="1"/>
      <c r="G2" s="1"/>
      <c r="H2" s="1"/>
      <c r="I2" s="1"/>
      <c r="J2" s="1"/>
    </row>
    <row r="3" spans="1:10" ht="32.4" customHeight="1" x14ac:dyDescent="0.55000000000000004">
      <c r="A3" s="1"/>
      <c r="B3" s="1"/>
      <c r="C3" s="1"/>
      <c r="D3" s="2" t="s">
        <v>1266</v>
      </c>
      <c r="E3" s="1"/>
      <c r="F3" s="2"/>
      <c r="G3" s="2"/>
      <c r="H3" s="1"/>
      <c r="I3" s="1"/>
      <c r="J3" s="1"/>
    </row>
    <row r="4" spans="1:10" ht="18.45" customHeight="1" thickBot="1" x14ac:dyDescent="0.4">
      <c r="A4" s="29"/>
      <c r="B4" s="29"/>
      <c r="C4" s="94"/>
      <c r="D4" s="347" t="str">
        <f>NameDerSchule</f>
        <v>Schule ABC</v>
      </c>
      <c r="E4" s="29"/>
      <c r="F4" s="29"/>
      <c r="G4" s="29"/>
      <c r="H4" s="29"/>
      <c r="I4" s="29"/>
      <c r="J4" s="29"/>
    </row>
    <row r="5" spans="1:10" ht="13.95" customHeight="1" thickTop="1" x14ac:dyDescent="0.3">
      <c r="A5" s="26" t="s">
        <v>63</v>
      </c>
      <c r="B5" s="26"/>
    </row>
    <row r="6" spans="1:10" ht="16.2" customHeight="1" x14ac:dyDescent="0.3"/>
    <row r="7" spans="1:10" ht="16.2" customHeight="1" x14ac:dyDescent="0.3">
      <c r="B7" s="228"/>
      <c r="C7" s="629" t="s">
        <v>1406</v>
      </c>
      <c r="D7" s="630"/>
      <c r="E7" s="630"/>
      <c r="F7" s="630"/>
      <c r="G7" s="630"/>
      <c r="H7" s="630"/>
      <c r="I7" s="631"/>
    </row>
    <row r="8" spans="1:10" ht="16.2" customHeight="1" x14ac:dyDescent="0.3">
      <c r="B8" s="204"/>
      <c r="C8" s="632"/>
      <c r="D8" s="632"/>
      <c r="E8" s="632"/>
      <c r="F8" s="632"/>
      <c r="G8" s="632"/>
      <c r="H8" s="632"/>
      <c r="I8" s="633"/>
    </row>
    <row r="9" spans="1:10" ht="16.2" customHeight="1" x14ac:dyDescent="0.3">
      <c r="B9" s="204"/>
      <c r="C9" s="632"/>
      <c r="D9" s="632"/>
      <c r="E9" s="632"/>
      <c r="F9" s="632"/>
      <c r="G9" s="632"/>
      <c r="H9" s="632"/>
      <c r="I9" s="633"/>
    </row>
    <row r="10" spans="1:10" ht="16.2" customHeight="1" x14ac:dyDescent="0.3">
      <c r="B10" s="204"/>
      <c r="C10" s="632"/>
      <c r="D10" s="632"/>
      <c r="E10" s="632"/>
      <c r="F10" s="632"/>
      <c r="G10" s="632"/>
      <c r="H10" s="632"/>
      <c r="I10" s="633"/>
    </row>
    <row r="11" spans="1:10" ht="16.2" customHeight="1" x14ac:dyDescent="0.3">
      <c r="B11" s="204"/>
      <c r="C11" s="632"/>
      <c r="D11" s="632"/>
      <c r="E11" s="632"/>
      <c r="F11" s="632"/>
      <c r="G11" s="632"/>
      <c r="H11" s="632"/>
      <c r="I11" s="633"/>
    </row>
    <row r="12" spans="1:10" ht="16.2" customHeight="1" x14ac:dyDescent="0.3">
      <c r="B12" s="204"/>
      <c r="C12" s="632"/>
      <c r="D12" s="632"/>
      <c r="E12" s="632"/>
      <c r="F12" s="632"/>
      <c r="G12" s="632"/>
      <c r="H12" s="632"/>
      <c r="I12" s="633"/>
    </row>
    <row r="13" spans="1:10" ht="16.2" customHeight="1" x14ac:dyDescent="0.3">
      <c r="B13" s="206"/>
      <c r="C13" s="634"/>
      <c r="D13" s="634"/>
      <c r="E13" s="634"/>
      <c r="F13" s="634"/>
      <c r="G13" s="634"/>
      <c r="H13" s="634"/>
      <c r="I13" s="635"/>
    </row>
    <row r="14" spans="1:10" ht="16.2" customHeight="1" x14ac:dyDescent="0.3"/>
    <row r="15" spans="1:10" ht="16.2" customHeight="1" x14ac:dyDescent="0.3"/>
    <row r="16" spans="1:10" ht="16.2" customHeight="1" thickBot="1" x14ac:dyDescent="0.4">
      <c r="B16" s="3" t="s">
        <v>1273</v>
      </c>
      <c r="C16" s="3"/>
      <c r="D16" s="3"/>
    </row>
    <row r="17" spans="1:9" ht="16.2" customHeight="1" thickTop="1" x14ac:dyDescent="0.3"/>
    <row r="18" spans="1:9" ht="18" customHeight="1" x14ac:dyDescent="0.3">
      <c r="B18" s="238"/>
      <c r="C18" t="s">
        <v>1271</v>
      </c>
      <c r="D18" s="162">
        <f>IF($E$299="vereinfachte Abschätzung",$I$312,G76*VerbrauchsanteilSchuleSchuelerweg)</f>
        <v>50046.57</v>
      </c>
      <c r="E18" s="211" t="s">
        <v>579</v>
      </c>
    </row>
    <row r="19" spans="1:9" ht="18" customHeight="1" x14ac:dyDescent="0.3">
      <c r="B19" s="239"/>
      <c r="C19" t="s">
        <v>1272</v>
      </c>
      <c r="D19" s="162">
        <f>IF($E$317="vereinfachte Abschätzung",$I$330,$G$203*VerbrauchsanteilSchuleLehrerweg)</f>
        <v>9406.4024999999983</v>
      </c>
      <c r="E19" s="211" t="s">
        <v>579</v>
      </c>
    </row>
    <row r="20" spans="1:9" ht="18" customHeight="1" x14ac:dyDescent="0.3">
      <c r="B20" s="240"/>
      <c r="C20" t="s">
        <v>414</v>
      </c>
      <c r="D20" s="162">
        <f>Klassenfahrten!$H$16*VerbrauchsanteilSchuleKlassenfahrten</f>
        <v>12959.25</v>
      </c>
      <c r="E20" s="211" t="s">
        <v>579</v>
      </c>
    </row>
    <row r="21" spans="1:9" ht="18" customHeight="1" x14ac:dyDescent="0.3">
      <c r="B21" s="241"/>
      <c r="C21" t="s">
        <v>552</v>
      </c>
      <c r="D21" s="162">
        <f>Schüleraustausch!$G$18*VerbrauchsanteilSchuleAustauschprogramme</f>
        <v>6423</v>
      </c>
      <c r="E21" s="211" t="s">
        <v>579</v>
      </c>
    </row>
    <row r="22" spans="1:9" ht="6.6" customHeight="1" x14ac:dyDescent="0.3"/>
    <row r="23" spans="1:9" ht="18" customHeight="1" x14ac:dyDescent="0.3">
      <c r="B23" s="8" t="s">
        <v>336</v>
      </c>
      <c r="D23" s="162">
        <f>D18+D19+D20</f>
        <v>72412.222500000003</v>
      </c>
    </row>
    <row r="24" spans="1:9" ht="15.6" customHeight="1" x14ac:dyDescent="0.3">
      <c r="B24" s="8"/>
      <c r="C24" s="374"/>
    </row>
    <row r="25" spans="1:9" ht="16.2" customHeight="1" x14ac:dyDescent="0.3"/>
    <row r="26" spans="1:9" ht="44.4" customHeight="1" x14ac:dyDescent="0.3">
      <c r="C26" s="638" t="str">
        <f>IF(OR(VerbrauchsanteilSchuleSchuelerweg&lt;&gt;100%,VerbrauchsanteilSchuleLehrerweg&lt;&gt;100%,VerbrauchsanteilSchuleKlassenfahrten&lt;&gt;100%,VerbrauchsanteilSchuleAustauschprogramme&lt;&gt;100%),"Hinweis:","")&amp;
IF(VerbrauchsanteilSchuleSchuelerweg&lt;&gt;100%," Die Emissionen der Schulwege der Schüler:innen wurden nur anteilig ("&amp;TEXT(VerbrauchsanteilSchuleSchuelerweg,"0 %")&amp;") in die CO2-Bilanz aufgenommen.","")&amp;IF(VerbrauchsanteilSchuleLehrerweg&lt;&gt;100%," Die Emissionen der Schulwege der Lehrer*innen wurden nur anteilig ("&amp;TEXT(VerbrauchsanteilSchuleLehrerweg,"0 %")&amp;") in die CO2-Bilanz aufgenommen.","")&amp;IF(VerbrauchsanteilSchuleKlassenfahrten&lt;&gt;100%," Die Emissionen der Klassenfahrten wurden nur anteilig ("&amp;TEXT(VerbrauchsanteilSchuleKlassenfahrten,"0 %")&amp;") in die CO2-Bilanz aufgenommen.","")&amp;IF(VerbrauchsanteilSchuleAustauschprogramme&lt;&gt;100%," Die Emissionen der Austauschprogramme wurden nur anteilig ("&amp;TEXT(VerbrauchsanteilSchuleAustauschprogramme,"0 %")&amp;") in die CO2-Bilanz aufgenommen.","")</f>
        <v>Hinweis: Die Emissionen der Schulwege der Schüler:innen wurden nur anteilig (50 %) in die CO2-Bilanz aufgenommen. Die Emissionen der Schulwege der Lehrer*innen wurden nur anteilig (50 %) in die CO2-Bilanz aufgenommen. Die Emissionen der Klassenfahrten wurden nur anteilig (50 %) in die CO2-Bilanz aufgenommen. Die Emissionen der Austauschprogramme wurden nur anteilig (50 %) in die CO2-Bilanz aufgenommen.</v>
      </c>
      <c r="D26" s="638"/>
      <c r="E26" s="638"/>
      <c r="F26" s="638"/>
      <c r="G26" s="638"/>
      <c r="H26" s="638"/>
      <c r="I26" s="638"/>
    </row>
    <row r="27" spans="1:9" ht="16.2" customHeight="1" x14ac:dyDescent="0.3">
      <c r="C27" s="374" t="str">
        <f>IF(OR(VerbrauchsanteilSchuleSchuelerweg&lt;&gt;100%,VerbrauchsanteilSchuleLehrerweg&lt;&gt;100%,VerbrauchsanteilSchuleKlassenfahrten&lt;&gt;100%,VerbrauchsanteilSchuleAustauschprogramme&lt;&gt;100%),"Hinweis: Der Anteil der Schule kann im Tabellenblatt Einstellungen geändert werden.","")</f>
        <v>Hinweis: Der Anteil der Schule kann im Tabellenblatt Einstellungen geändert werden.</v>
      </c>
    </row>
    <row r="28" spans="1:9" ht="16.2" customHeight="1" x14ac:dyDescent="0.3">
      <c r="A28" s="194" t="s">
        <v>631</v>
      </c>
      <c r="C28" s="301" t="str">
        <f>IF(A28&lt;&gt;"OK",IF(MAX('Daten Schulwege'!A16:A1000)&gt;50,"Achtung: Bei mindestens einer Wegstrecke wurde eine Länge von über 50 km eingetragen. Bitte die Kilometerangaben im Tabellenblatt Daten Verkehr überprüfen.",""),"")</f>
        <v/>
      </c>
    </row>
    <row r="29" spans="1:9" ht="16.2" customHeight="1" x14ac:dyDescent="0.3">
      <c r="C29" s="436" t="str">
        <f>IF($E$299="vereinfachte Abschätzung","Für die Emissionen der Schulwege der Schüler:innen wurde eine vereinfachte Abschätzung gewählt (ganz unten auf diesem Tabellenblatt): "&amp;TEXT($I$312,"#.##0")&amp;" kg CO₂","")</f>
        <v/>
      </c>
    </row>
    <row r="30" spans="1:9" ht="16.2" customHeight="1" x14ac:dyDescent="0.3">
      <c r="C30" s="436" t="str">
        <f>IF($E$317="vereinfachte Abschätzung","Für die Emissionen der Schulwege der Lehrer:innen wurde eine vereinfachte Abschätzung gewählt (ganz unten auf diesem Tabellenblatt): "&amp;TEXT($I$330,"#.##0")&amp;" kg CO₂","")</f>
        <v/>
      </c>
    </row>
    <row r="31" spans="1:9" ht="16.2" customHeight="1" thickBot="1" x14ac:dyDescent="0.4">
      <c r="A31" s="89" t="s">
        <v>397</v>
      </c>
      <c r="B31" s="89"/>
      <c r="C31" s="3" t="s">
        <v>1423</v>
      </c>
      <c r="D31" s="3"/>
      <c r="E31" s="3"/>
      <c r="F31" s="3"/>
      <c r="G31" s="3"/>
    </row>
    <row r="32" spans="1:9" ht="16.2" customHeight="1" thickTop="1" x14ac:dyDescent="0.3">
      <c r="A32" s="89"/>
      <c r="B32" s="89"/>
    </row>
    <row r="33" spans="1:10" ht="16.2" customHeight="1" x14ac:dyDescent="0.3">
      <c r="A33" s="89"/>
      <c r="B33" s="89"/>
      <c r="C33" s="8" t="s">
        <v>477</v>
      </c>
      <c r="D33" s="39" t="s">
        <v>476</v>
      </c>
      <c r="E33" s="32"/>
      <c r="F33" s="21" t="s">
        <v>455</v>
      </c>
      <c r="G33" s="30"/>
      <c r="H33" s="134" t="s">
        <v>478</v>
      </c>
      <c r="I33" s="40"/>
    </row>
    <row r="34" spans="1:10" ht="44.7" customHeight="1" x14ac:dyDescent="0.3">
      <c r="A34" s="89"/>
      <c r="B34" s="89"/>
      <c r="C34" t="s">
        <v>1429</v>
      </c>
      <c r="D34" s="99" t="s">
        <v>431</v>
      </c>
      <c r="E34" s="99" t="s">
        <v>448</v>
      </c>
      <c r="F34" s="100" t="s">
        <v>431</v>
      </c>
      <c r="G34" s="100" t="s">
        <v>448</v>
      </c>
      <c r="H34" s="114" t="s">
        <v>431</v>
      </c>
      <c r="I34" s="114" t="s">
        <v>448</v>
      </c>
    </row>
    <row r="35" spans="1:10" x14ac:dyDescent="0.3">
      <c r="A35" s="89"/>
      <c r="B35" s="89"/>
      <c r="C35" s="31" t="s">
        <v>75</v>
      </c>
      <c r="D35" s="88">
        <f>COUNTIFS('Daten Schulwege'!$E:$E,$C35,'Daten Schulwege'!$C:$C,$C$34)</f>
        <v>0</v>
      </c>
      <c r="E35" s="98">
        <f>IF(D35&gt;0,AVERAGEIFS('Daten Schulwege'!$A:$A,'Daten Schulwege'!E:E,$C35,'Daten Schulwege'!C:C,$C$34),0)</f>
        <v>0</v>
      </c>
      <c r="F35" s="88">
        <f>COUNTIFS('Daten Schulwege'!$F:$F,$C35,'Daten Schulwege'!$C:$C,$C$34)</f>
        <v>0</v>
      </c>
      <c r="G35" s="98">
        <f>IF(F35&gt;0,AVERAGEIFS('Daten Schulwege'!$A:$A,'Daten Schulwege'!F:F,$C35,'Daten Schulwege'!C:C,$C$34),0)</f>
        <v>0</v>
      </c>
      <c r="H35" s="88">
        <f t="shared" ref="H35:H46" si="0">(D35*AnzahlTageFruehjahrBisHerbst+F35*AnzahlTageWinter)/(AnzahlTageFruehjahrBisHerbst+AnzahlTageWinter)</f>
        <v>0</v>
      </c>
      <c r="I35" s="98">
        <f t="shared" ref="I35:I46" si="1">IF(H35=0,0,(D35*E35*AnzahlTageFruehjahrBisHerbst+F35*G35*AnzahlTageWinter)/(H35*(AnzahlTageFruehjahrBisHerbst+AnzahlTageWinter)))</f>
        <v>0</v>
      </c>
    </row>
    <row r="36" spans="1:10" x14ac:dyDescent="0.3">
      <c r="A36" s="89"/>
      <c r="B36" s="89"/>
      <c r="C36" s="31" t="s">
        <v>74</v>
      </c>
      <c r="D36" s="88">
        <f>COUNTIFS('Daten Schulwege'!$E:$E,$C36,'Daten Schulwege'!$C:$C,$C$34)</f>
        <v>6</v>
      </c>
      <c r="E36" s="98">
        <f>IF(D36&gt;0,AVERAGEIFS('Daten Schulwege'!$A:$A,'Daten Schulwege'!E:E,$C36,'Daten Schulwege'!C:C,$C$34),0)</f>
        <v>5.333333333333333</v>
      </c>
      <c r="F36" s="88">
        <f>COUNTIFS('Daten Schulwege'!$F:$F,$C36,'Daten Schulwege'!$C:$C,$C$34)</f>
        <v>5</v>
      </c>
      <c r="G36" s="98">
        <f>IF(F36&gt;0,AVERAGEIFS('Daten Schulwege'!$A:$A,'Daten Schulwege'!F:F,$C36,'Daten Schulwege'!C:C,$C$34),0)</f>
        <v>5.2</v>
      </c>
      <c r="H36" s="88">
        <f t="shared" si="0"/>
        <v>5.6944444444444446</v>
      </c>
      <c r="I36" s="98">
        <f t="shared" si="1"/>
        <v>5.2975609756097564</v>
      </c>
    </row>
    <row r="37" spans="1:10" x14ac:dyDescent="0.3">
      <c r="A37" s="89"/>
      <c r="B37" s="89"/>
      <c r="C37" s="31" t="s">
        <v>76</v>
      </c>
      <c r="D37" s="88">
        <f>COUNTIFS('Daten Schulwege'!$E:$E,$C37,'Daten Schulwege'!$C:$C,$C$34)</f>
        <v>1</v>
      </c>
      <c r="E37" s="98">
        <f>IF(D37&gt;0,AVERAGEIFS('Daten Schulwege'!$A:$A,'Daten Schulwege'!E:E,$C37,'Daten Schulwege'!C:C,$C$34),0)</f>
        <v>12</v>
      </c>
      <c r="F37" s="88">
        <f>COUNTIFS('Daten Schulwege'!$F:$F,$C37,'Daten Schulwege'!$C:$C,$C$34)</f>
        <v>1</v>
      </c>
      <c r="G37" s="98">
        <f>IF(F37&gt;0,AVERAGEIFS('Daten Schulwege'!$A:$A,'Daten Schulwege'!F:F,$C37,'Daten Schulwege'!C:C,$C$34),0)</f>
        <v>12</v>
      </c>
      <c r="H37" s="88">
        <f t="shared" si="0"/>
        <v>1</v>
      </c>
      <c r="I37" s="98">
        <f t="shared" si="1"/>
        <v>12</v>
      </c>
    </row>
    <row r="38" spans="1:10" x14ac:dyDescent="0.3">
      <c r="A38" s="89"/>
      <c r="B38" s="89"/>
      <c r="C38" s="31" t="s">
        <v>80</v>
      </c>
      <c r="D38" s="88">
        <f>COUNTIFS('Daten Schulwege'!$E:$E,$C38,'Daten Schulwege'!$C:$C,$C$34)</f>
        <v>1</v>
      </c>
      <c r="E38" s="98">
        <f>IF(D38&gt;0,AVERAGEIFS('Daten Schulwege'!$A:$A,'Daten Schulwege'!E:E,$C38,'Daten Schulwege'!C:C,$C$34),0)</f>
        <v>15.4</v>
      </c>
      <c r="F38" s="88">
        <f>COUNTIFS('Daten Schulwege'!$F:$F,$C38,'Daten Schulwege'!$C:$C,$C$34)</f>
        <v>2</v>
      </c>
      <c r="G38" s="98">
        <f>IF(F38&gt;0,AVERAGEIFS('Daten Schulwege'!$A:$A,'Daten Schulwege'!F:F,$C38,'Daten Schulwege'!C:C,$C$34),0)</f>
        <v>10.7</v>
      </c>
      <c r="H38" s="88">
        <f t="shared" si="0"/>
        <v>1.3055555555555556</v>
      </c>
      <c r="I38" s="98">
        <f t="shared" si="1"/>
        <v>13.2</v>
      </c>
    </row>
    <row r="39" spans="1:10" x14ac:dyDescent="0.3">
      <c r="A39" s="89"/>
      <c r="B39" s="89"/>
      <c r="C39" s="31" t="s">
        <v>79</v>
      </c>
      <c r="D39" s="88">
        <f>COUNTIFS('Daten Schulwege'!$E:$E,$C39,'Daten Schulwege'!$C:$C,$C$34)</f>
        <v>0</v>
      </c>
      <c r="E39" s="98">
        <f>IF(D39&gt;0,AVERAGEIFS('Daten Schulwege'!$A:$A,'Daten Schulwege'!E:E,$C39,'Daten Schulwege'!C:C,$C$34),0)</f>
        <v>0</v>
      </c>
      <c r="F39" s="88">
        <f>COUNTIFS('Daten Schulwege'!$F:$F,$C39,'Daten Schulwege'!$C:$C,$C$34)</f>
        <v>0</v>
      </c>
      <c r="G39" s="98">
        <f>IF(F39&gt;0,AVERAGEIFS('Daten Schulwege'!$A:$A,'Daten Schulwege'!F:F,$C39,'Daten Schulwege'!C:C,$C$34),0)</f>
        <v>0</v>
      </c>
      <c r="H39" s="88">
        <f t="shared" si="0"/>
        <v>0</v>
      </c>
      <c r="I39" s="98">
        <f t="shared" si="1"/>
        <v>0</v>
      </c>
    </row>
    <row r="40" spans="1:10" x14ac:dyDescent="0.3">
      <c r="A40" s="89"/>
      <c r="B40" s="89"/>
      <c r="C40" s="31" t="s">
        <v>77</v>
      </c>
      <c r="D40" s="88">
        <f>COUNTIFS('Daten Schulwege'!$E:$E,$C40,'Daten Schulwege'!$C:$C,$C$34)</f>
        <v>0</v>
      </c>
      <c r="E40" s="98">
        <f>IF(D40&gt;0,AVERAGEIFS('Daten Schulwege'!$A:$A,'Daten Schulwege'!E:E,$C40,'Daten Schulwege'!C:C,$C$34),0)</f>
        <v>0</v>
      </c>
      <c r="F40" s="88">
        <f>COUNTIFS('Daten Schulwege'!$F:$F,$C40,'Daten Schulwege'!$C:$C,$C$34)</f>
        <v>0</v>
      </c>
      <c r="G40" s="98">
        <f>IF(F40&gt;0,AVERAGEIFS('Daten Schulwege'!$A:$A,'Daten Schulwege'!F:F,$C40,'Daten Schulwege'!C:C,$C$34),0)</f>
        <v>0</v>
      </c>
      <c r="H40" s="88">
        <f t="shared" si="0"/>
        <v>0</v>
      </c>
      <c r="I40" s="98">
        <f t="shared" si="1"/>
        <v>0</v>
      </c>
    </row>
    <row r="41" spans="1:10" x14ac:dyDescent="0.3">
      <c r="A41" s="89"/>
      <c r="B41" s="89"/>
      <c r="C41" s="31" t="s">
        <v>81</v>
      </c>
      <c r="D41" s="88">
        <f>COUNTIFS('Daten Schulwege'!$E:$E,$C41,'Daten Schulwege'!$C:$C,$C$34)</f>
        <v>0</v>
      </c>
      <c r="E41" s="98">
        <f>IF(D41&gt;0,AVERAGEIFS('Daten Schulwege'!$A:$A,'Daten Schulwege'!E:E,$C41,'Daten Schulwege'!C:C,$C$34),0)</f>
        <v>0</v>
      </c>
      <c r="F41" s="88">
        <f>COUNTIFS('Daten Schulwege'!$F:$F,$C41,'Daten Schulwege'!$C:$C,$C$34)</f>
        <v>0</v>
      </c>
      <c r="G41" s="98">
        <f>IF(F41&gt;0,AVERAGEIFS('Daten Schulwege'!$A:$A,'Daten Schulwege'!F:F,$C41,'Daten Schulwege'!C:C,$C$34),0)</f>
        <v>0</v>
      </c>
      <c r="H41" s="88">
        <f t="shared" si="0"/>
        <v>0</v>
      </c>
      <c r="I41" s="98">
        <f t="shared" si="1"/>
        <v>0</v>
      </c>
    </row>
    <row r="42" spans="1:10" x14ac:dyDescent="0.3">
      <c r="A42" s="89"/>
      <c r="B42" s="89"/>
      <c r="C42" s="31" t="s">
        <v>82</v>
      </c>
      <c r="D42" s="88">
        <f>COUNTIFS('Daten Schulwege'!$E:$E,$C42,'Daten Schulwege'!$C:$C,$C$34)</f>
        <v>0</v>
      </c>
      <c r="E42" s="98">
        <f>IF(D42&gt;0,AVERAGEIFS('Daten Schulwege'!$A:$A,'Daten Schulwege'!E:E,$C42,'Daten Schulwege'!C:C,$C$34),0)</f>
        <v>0</v>
      </c>
      <c r="F42" s="88">
        <f>COUNTIFS('Daten Schulwege'!$F:$F,$C42,'Daten Schulwege'!$C:$C,$C$34)</f>
        <v>0</v>
      </c>
      <c r="G42" s="98">
        <f>IF(F42&gt;0,AVERAGEIFS('Daten Schulwege'!$A:$A,'Daten Schulwege'!F:F,$C42,'Daten Schulwege'!C:C,$C$34),0)</f>
        <v>0</v>
      </c>
      <c r="H42" s="88">
        <f t="shared" si="0"/>
        <v>0</v>
      </c>
      <c r="I42" s="98">
        <f t="shared" si="1"/>
        <v>0</v>
      </c>
    </row>
    <row r="43" spans="1:10" x14ac:dyDescent="0.3">
      <c r="A43" s="89"/>
      <c r="B43" s="89"/>
      <c r="C43" s="31" t="s">
        <v>83</v>
      </c>
      <c r="D43" s="88">
        <f>COUNTIFS('Daten Schulwege'!$E:$E,$C43,'Daten Schulwege'!$C:$C,$C$34)</f>
        <v>0</v>
      </c>
      <c r="E43" s="98">
        <f>IF(D43&gt;0,AVERAGEIFS('Daten Schulwege'!$A:$A,'Daten Schulwege'!E:E,$C43,'Daten Schulwege'!C:C,$C$34),0)</f>
        <v>0</v>
      </c>
      <c r="F43" s="88">
        <f>COUNTIFS('Daten Schulwege'!$F:$F,$C43,'Daten Schulwege'!$C:$C,$C$34)</f>
        <v>0</v>
      </c>
      <c r="G43" s="98">
        <f>IF(F43&gt;0,AVERAGEIFS('Daten Schulwege'!$A:$A,'Daten Schulwege'!F:F,$C43,'Daten Schulwege'!C:C,$C$34),0)</f>
        <v>0</v>
      </c>
      <c r="H43" s="88">
        <f t="shared" si="0"/>
        <v>0</v>
      </c>
      <c r="I43" s="98">
        <f t="shared" si="1"/>
        <v>0</v>
      </c>
    </row>
    <row r="44" spans="1:10" x14ac:dyDescent="0.3">
      <c r="A44" s="89"/>
      <c r="B44" s="89"/>
      <c r="C44" s="31" t="s">
        <v>625</v>
      </c>
      <c r="D44" s="88">
        <f>COUNTIFS('Daten Schulwege'!$E:$E,$C44,'Daten Schulwege'!$C:$C,$C$34)</f>
        <v>0</v>
      </c>
      <c r="E44" s="98">
        <f>IF(D44&gt;0,AVERAGEIFS('Daten Schulwege'!$A:$A,'Daten Schulwege'!E:E,$C44,'Daten Schulwege'!C:C,$C$34),0)</f>
        <v>0</v>
      </c>
      <c r="F44" s="88">
        <f>COUNTIFS('Daten Schulwege'!$F:$F,$C44,'Daten Schulwege'!$C:$C,$C$34)</f>
        <v>0</v>
      </c>
      <c r="G44" s="98">
        <f>IF(F44&gt;0,AVERAGEIFS('Daten Schulwege'!$A:$A,'Daten Schulwege'!F:F,$C44,'Daten Schulwege'!C:C,$C$34),0)</f>
        <v>0</v>
      </c>
      <c r="H44" s="88">
        <f t="shared" ref="H44" si="2">(D44*AnzahlTageFruehjahrBisHerbst+F44*AnzahlTageWinter)/(AnzahlTageFruehjahrBisHerbst+AnzahlTageWinter)</f>
        <v>0</v>
      </c>
      <c r="I44" s="98">
        <f t="shared" ref="I44" si="3">IF(H44=0,0,(D44*E44*AnzahlTageFruehjahrBisHerbst+F44*G44*AnzahlTageWinter)/(H44*(AnzahlTageFruehjahrBisHerbst+AnzahlTageWinter)))</f>
        <v>0</v>
      </c>
    </row>
    <row r="45" spans="1:10" x14ac:dyDescent="0.3">
      <c r="A45" s="89"/>
      <c r="B45" s="89"/>
      <c r="C45" s="31" t="s">
        <v>589</v>
      </c>
      <c r="D45" s="88">
        <f>COUNTIFS('Daten Schulwege'!$E:$E,$C45,'Daten Schulwege'!$C:$C,$C$34)</f>
        <v>1</v>
      </c>
      <c r="E45" s="98">
        <f>IF(D45&gt;0,AVERAGEIFS('Daten Schulwege'!$A:$A,'Daten Schulwege'!E:E,$C45,'Daten Schulwege'!C:C,$C$34),0)</f>
        <v>15</v>
      </c>
      <c r="F45" s="88">
        <f>COUNTIFS('Daten Schulwege'!$F:$F,$C45,'Daten Schulwege'!$C:$C,$C$34)</f>
        <v>1</v>
      </c>
      <c r="G45" s="98">
        <f>IF(F45&gt;0,AVERAGEIFS('Daten Schulwege'!$A:$A,'Daten Schulwege'!F:F,$C45,'Daten Schulwege'!C:C,$C$34),0)</f>
        <v>15</v>
      </c>
      <c r="H45" s="88">
        <f t="shared" ref="H45" si="4">(D45*AnzahlTageFruehjahrBisHerbst+F45*AnzahlTageWinter)/(AnzahlTageFruehjahrBisHerbst+AnzahlTageWinter)</f>
        <v>1</v>
      </c>
      <c r="I45" s="98">
        <f t="shared" ref="I45" si="5">IF(H45=0,0,(D45*E45*AnzahlTageFruehjahrBisHerbst+F45*G45*AnzahlTageWinter)/(H45*(AnzahlTageFruehjahrBisHerbst+AnzahlTageWinter)))</f>
        <v>15</v>
      </c>
    </row>
    <row r="46" spans="1:10" x14ac:dyDescent="0.3">
      <c r="A46" s="89"/>
      <c r="B46" s="89"/>
      <c r="C46" s="31" t="s">
        <v>78</v>
      </c>
      <c r="D46" s="88">
        <f>COUNTIFS('Daten Schulwege'!$E:$E,$C46,'Daten Schulwege'!$C:$C,$C$34)</f>
        <v>0</v>
      </c>
      <c r="E46" s="98">
        <f>IF(D46&gt;0,AVERAGEIFS('Daten Schulwege'!$A:$A,'Daten Schulwege'!E:E,$C46,'Daten Schulwege'!C:C,$C$34),0)</f>
        <v>0</v>
      </c>
      <c r="F46" s="88">
        <f>COUNTIFS('Daten Schulwege'!$F:$F,$C46,'Daten Schulwege'!$C:$C,$C$34)</f>
        <v>0</v>
      </c>
      <c r="G46" s="98">
        <f>IF(F46&gt;0,AVERAGEIFS('Daten Schulwege'!$A:$A,'Daten Schulwege'!F:F,$C46,'Daten Schulwege'!C:C,$C$34),0)</f>
        <v>0</v>
      </c>
      <c r="H46" s="88">
        <f t="shared" si="0"/>
        <v>0</v>
      </c>
      <c r="I46" s="98">
        <f t="shared" si="1"/>
        <v>0</v>
      </c>
    </row>
    <row r="47" spans="1:10" x14ac:dyDescent="0.3">
      <c r="A47" s="89"/>
      <c r="B47" s="89"/>
      <c r="C47" s="131" t="s">
        <v>57</v>
      </c>
      <c r="D47" s="156">
        <f>SUM(D35:D46)</f>
        <v>9</v>
      </c>
      <c r="G47" s="65"/>
      <c r="H47" s="154" t="s">
        <v>479</v>
      </c>
      <c r="I47" s="155">
        <f>SUMPRODUCT(H35:H46,I35:I46)/SUM(H35:H46)</f>
        <v>8.2666666666666675</v>
      </c>
    </row>
    <row r="48" spans="1:10" x14ac:dyDescent="0.3">
      <c r="A48" s="89"/>
      <c r="B48" s="89"/>
      <c r="D48" s="65"/>
      <c r="E48" s="128"/>
      <c r="F48" s="129"/>
      <c r="G48" s="65"/>
      <c r="H48" s="65"/>
      <c r="I48" s="130"/>
      <c r="J48" s="129"/>
    </row>
    <row r="49" spans="1:10" ht="18" thickBot="1" x14ac:dyDescent="0.4">
      <c r="A49" s="89"/>
      <c r="B49" s="89"/>
      <c r="C49" s="3" t="s">
        <v>91</v>
      </c>
      <c r="D49" s="3"/>
      <c r="E49" s="3"/>
      <c r="F49" s="3"/>
      <c r="G49" s="3"/>
      <c r="H49" s="65"/>
      <c r="I49" s="130"/>
      <c r="J49" s="129"/>
    </row>
    <row r="50" spans="1:10" ht="15" thickTop="1" x14ac:dyDescent="0.3">
      <c r="A50" s="89"/>
      <c r="B50" s="89"/>
      <c r="D50" s="65"/>
      <c r="E50" s="128"/>
      <c r="F50" s="129"/>
      <c r="G50" s="65"/>
      <c r="H50" s="65"/>
      <c r="I50" s="129"/>
      <c r="J50" s="129"/>
    </row>
    <row r="51" spans="1:10" x14ac:dyDescent="0.3">
      <c r="A51" s="89"/>
      <c r="B51" s="89"/>
      <c r="C51" t="s">
        <v>1431</v>
      </c>
      <c r="E51" s="135">
        <f>D47</f>
        <v>9</v>
      </c>
      <c r="F51" s="129" t="str">
        <f>IF(AND($E$53&gt;0,$E$53&lt;0.4),"Hinweis:","")</f>
        <v>Hinweis:</v>
      </c>
      <c r="G51" s="65"/>
      <c r="H51" s="65"/>
      <c r="I51" s="129"/>
      <c r="J51" s="129"/>
    </row>
    <row r="52" spans="1:10" x14ac:dyDescent="0.3">
      <c r="A52" s="89"/>
      <c r="B52" s="89"/>
      <c r="C52" t="s">
        <v>1432</v>
      </c>
      <c r="D52" s="65"/>
      <c r="E52" s="135">
        <f>AnzahlSchueler</f>
        <v>999</v>
      </c>
      <c r="F52" s="129" t="str">
        <f>IF(AND($E$53&gt;0,$E$53&lt;0.4),"Die Teilnehmerquote der Umfrage liegt mit nur "&amp;TEXT($E$53,"0 %")&amp;" sehr niedrig. Hierdurch kann es...","")</f>
        <v>Die Teilnehmerquote der Umfrage liegt mit nur 1 % sehr niedrig. Hierdurch kann es...</v>
      </c>
      <c r="G52" s="65"/>
      <c r="H52" s="65"/>
      <c r="I52" s="129"/>
      <c r="J52" s="129"/>
    </row>
    <row r="53" spans="1:10" x14ac:dyDescent="0.3">
      <c r="A53" s="89"/>
      <c r="B53" s="89"/>
      <c r="C53" t="s">
        <v>466</v>
      </c>
      <c r="D53" s="65"/>
      <c r="E53" s="136">
        <f>E51/E52</f>
        <v>9.0090090090090089E-3</v>
      </c>
      <c r="F53" s="129" t="str">
        <f>IF(AND($E$53&gt;0,$E$53&lt;0.4),"... bei der Hochrechnung zu größeren Ungenauigkeiten kommen. Versucht doch noch...","")</f>
        <v>... bei der Hochrechnung zu größeren Ungenauigkeiten kommen. Versucht doch noch...</v>
      </c>
      <c r="G53" s="65"/>
      <c r="H53" s="65"/>
      <c r="I53" s="129"/>
      <c r="J53" s="129"/>
    </row>
    <row r="54" spans="1:10" x14ac:dyDescent="0.3">
      <c r="A54" s="89"/>
      <c r="B54" s="89"/>
      <c r="C54" t="s">
        <v>1433</v>
      </c>
      <c r="D54" s="65"/>
      <c r="E54" s="137">
        <f>AnzahlSchueler/E51</f>
        <v>111</v>
      </c>
      <c r="F54" s="129" t="str">
        <f>IF(AND($E$53&gt;0,$E$53&lt;0.4),"... ein paar weitere Schüler:innen zur Teilnahme an der Umfrage zu motivieren.","")</f>
        <v>... ein paar weitere Schüler:innen zur Teilnahme an der Umfrage zu motivieren.</v>
      </c>
      <c r="G54" s="65"/>
      <c r="H54" s="65"/>
      <c r="I54" s="130"/>
      <c r="J54" s="129"/>
    </row>
    <row r="55" spans="1:10" x14ac:dyDescent="0.3">
      <c r="A55" s="89"/>
      <c r="B55" s="89"/>
      <c r="D55" s="65"/>
      <c r="E55" s="128"/>
      <c r="F55" s="129"/>
      <c r="G55" s="65"/>
      <c r="H55" s="65"/>
      <c r="I55" s="130"/>
      <c r="J55" s="129"/>
    </row>
    <row r="56" spans="1:10" x14ac:dyDescent="0.3">
      <c r="A56" s="89"/>
      <c r="B56" s="89"/>
      <c r="C56" s="8" t="str">
        <f>"An der Mobilitätsbefragung haben insgesamt "&amp;D47&amp;" Schüler:innen teilgenommen."</f>
        <v>An der Mobilitätsbefragung haben insgesamt 9 Schüler:innen teilgenommen.</v>
      </c>
      <c r="D56" s="65"/>
      <c r="E56" s="128"/>
      <c r="F56" s="129"/>
      <c r="G56" s="65"/>
      <c r="H56" s="65"/>
      <c r="I56" s="130"/>
      <c r="J56" s="129"/>
    </row>
    <row r="57" spans="1:10" x14ac:dyDescent="0.3">
      <c r="A57" s="89"/>
      <c r="B57" s="89"/>
      <c r="C57" s="8" t="str">
        <f>"Dies entspricht "&amp;TEXT(D47/AnzahlSchueler,"0,0 %")&amp;" der insgesamt "&amp;AnzahlSchueler&amp;" Schüler:innen an der Schule."</f>
        <v>Dies entspricht 0,9 % der insgesamt 999 Schüler:innen an der Schule.</v>
      </c>
      <c r="D57" s="65"/>
      <c r="E57" s="128"/>
      <c r="F57" s="129"/>
      <c r="G57" s="65"/>
      <c r="H57" s="65"/>
      <c r="I57" s="130"/>
      <c r="J57" s="129"/>
    </row>
    <row r="58" spans="1:10" x14ac:dyDescent="0.3">
      <c r="A58" s="89"/>
      <c r="B58" s="89"/>
      <c r="C58" t="s">
        <v>1434</v>
      </c>
      <c r="I58" s="129"/>
      <c r="J58" s="129"/>
    </row>
    <row r="59" spans="1:10" x14ac:dyDescent="0.3">
      <c r="A59" s="89"/>
      <c r="B59" s="89"/>
    </row>
    <row r="60" spans="1:10" ht="20.399999999999999" thickBot="1" x14ac:dyDescent="0.5">
      <c r="A60" s="89"/>
      <c r="B60" s="89"/>
      <c r="C60" s="3" t="s">
        <v>1407</v>
      </c>
      <c r="D60" s="3"/>
      <c r="E60" s="3"/>
      <c r="F60" s="3"/>
      <c r="G60" s="3"/>
    </row>
    <row r="61" spans="1:10" ht="7.2" customHeight="1" thickTop="1" x14ac:dyDescent="0.3">
      <c r="A61" s="89"/>
      <c r="B61" s="89"/>
    </row>
    <row r="62" spans="1:10" x14ac:dyDescent="0.3">
      <c r="A62" s="89"/>
      <c r="B62" s="89"/>
      <c r="D62" s="126" t="s">
        <v>460</v>
      </c>
      <c r="E62" s="127"/>
      <c r="F62" s="124" t="s">
        <v>92</v>
      </c>
      <c r="G62" s="125" t="s">
        <v>93</v>
      </c>
    </row>
    <row r="63" spans="1:10" ht="15.6" x14ac:dyDescent="0.3">
      <c r="A63" s="89"/>
      <c r="B63" s="89"/>
      <c r="D63" s="139" t="s">
        <v>461</v>
      </c>
      <c r="E63" s="139" t="s">
        <v>462</v>
      </c>
      <c r="F63" s="140" t="s">
        <v>467</v>
      </c>
      <c r="G63" s="299" t="s">
        <v>468</v>
      </c>
    </row>
    <row r="64" spans="1:10" x14ac:dyDescent="0.3">
      <c r="A64" s="89"/>
      <c r="B64" s="89"/>
      <c r="C64" s="123" t="s">
        <v>75</v>
      </c>
      <c r="D64" s="34">
        <f>D35*E35*2*AnzahlTageFruehjahrBisHerbst+F35*G35*2*AnzahlTageWinter</f>
        <v>0</v>
      </c>
      <c r="E64" s="34">
        <f t="shared" ref="E64:E75" si="6">D64*HochrechnungsfaktorVerkehr</f>
        <v>0</v>
      </c>
      <c r="F64" s="31">
        <v>0</v>
      </c>
      <c r="G64" s="111">
        <f>E64*F64/1000</f>
        <v>0</v>
      </c>
    </row>
    <row r="65" spans="1:7" x14ac:dyDescent="0.3">
      <c r="A65" s="89"/>
      <c r="B65" s="89"/>
      <c r="C65" s="123" t="s">
        <v>74</v>
      </c>
      <c r="D65" s="34">
        <f>D36*E36*2*AnzahlTageFruehjahrBisHerbst+F36*G36*2*AnzahlTageWinter</f>
        <v>10860</v>
      </c>
      <c r="E65" s="34">
        <f t="shared" si="6"/>
        <v>1205460</v>
      </c>
      <c r="F65" s="31">
        <v>0</v>
      </c>
      <c r="G65" s="111">
        <f t="shared" ref="G65:G72" si="7">E65*F65/1000</f>
        <v>0</v>
      </c>
    </row>
    <row r="66" spans="1:7" x14ac:dyDescent="0.3">
      <c r="A66" s="89"/>
      <c r="B66" s="89"/>
      <c r="C66" s="123" t="s">
        <v>76</v>
      </c>
      <c r="D66" s="34">
        <f t="shared" ref="D66:D73" si="8">D37*E37*2*AnzahlTageFruehjahrBisHerbst+F37*G37*2*AnzahlTageWinter</f>
        <v>4320</v>
      </c>
      <c r="E66" s="34">
        <f t="shared" si="6"/>
        <v>479520</v>
      </c>
      <c r="F66" s="31">
        <f>EmissionsfaktorSchulbus</f>
        <v>31</v>
      </c>
      <c r="G66" s="111">
        <f t="shared" si="7"/>
        <v>14865.12</v>
      </c>
    </row>
    <row r="67" spans="1:7" x14ac:dyDescent="0.3">
      <c r="A67" s="89"/>
      <c r="B67" s="89"/>
      <c r="C67" s="123" t="s">
        <v>80</v>
      </c>
      <c r="D67" s="34">
        <f t="shared" si="8"/>
        <v>6204</v>
      </c>
      <c r="E67" s="34">
        <f t="shared" si="6"/>
        <v>688644</v>
      </c>
      <c r="F67" s="31">
        <f>EmissionsfaktorÖPNV</f>
        <v>55</v>
      </c>
      <c r="G67" s="111">
        <f t="shared" si="7"/>
        <v>37875.42</v>
      </c>
    </row>
    <row r="68" spans="1:7" x14ac:dyDescent="0.3">
      <c r="A68" s="89"/>
      <c r="B68" s="89"/>
      <c r="C68" s="123" t="s">
        <v>79</v>
      </c>
      <c r="D68" s="34">
        <f t="shared" si="8"/>
        <v>0</v>
      </c>
      <c r="E68" s="34">
        <f t="shared" si="6"/>
        <v>0</v>
      </c>
      <c r="F68" s="31">
        <f>EmissionsfaktorEBike</f>
        <v>4</v>
      </c>
      <c r="G68" s="111">
        <f t="shared" si="7"/>
        <v>0</v>
      </c>
    </row>
    <row r="69" spans="1:7" x14ac:dyDescent="0.3">
      <c r="A69" s="89"/>
      <c r="B69" s="89"/>
      <c r="C69" s="123" t="s">
        <v>77</v>
      </c>
      <c r="D69" s="34">
        <f t="shared" si="8"/>
        <v>0</v>
      </c>
      <c r="E69" s="34">
        <f t="shared" si="6"/>
        <v>0</v>
      </c>
      <c r="F69" s="31">
        <f>EmissionsfaktorMoped</f>
        <v>60</v>
      </c>
      <c r="G69" s="111">
        <f t="shared" si="7"/>
        <v>0</v>
      </c>
    </row>
    <row r="70" spans="1:7" x14ac:dyDescent="0.3">
      <c r="A70" s="89"/>
      <c r="B70" s="89"/>
      <c r="C70" s="123" t="s">
        <v>81</v>
      </c>
      <c r="D70" s="34">
        <f t="shared" si="8"/>
        <v>0</v>
      </c>
      <c r="E70" s="34">
        <f t="shared" si="6"/>
        <v>0</v>
      </c>
      <c r="F70" s="31">
        <f>EmissionsfaktorAutoKleinwagen</f>
        <v>136</v>
      </c>
      <c r="G70" s="111">
        <f t="shared" si="7"/>
        <v>0</v>
      </c>
    </row>
    <row r="71" spans="1:7" x14ac:dyDescent="0.3">
      <c r="A71" s="89"/>
      <c r="B71" s="89"/>
      <c r="C71" s="123" t="s">
        <v>82</v>
      </c>
      <c r="D71" s="34">
        <f t="shared" si="8"/>
        <v>0</v>
      </c>
      <c r="E71" s="34">
        <f t="shared" si="6"/>
        <v>0</v>
      </c>
      <c r="F71" s="31">
        <f>EmissionsfaktorAutoMittelklasse</f>
        <v>170</v>
      </c>
      <c r="G71" s="111">
        <f t="shared" si="7"/>
        <v>0</v>
      </c>
    </row>
    <row r="72" spans="1:7" x14ac:dyDescent="0.3">
      <c r="A72" s="89"/>
      <c r="B72" s="89"/>
      <c r="C72" s="123" t="s">
        <v>83</v>
      </c>
      <c r="D72" s="34">
        <f t="shared" si="8"/>
        <v>0</v>
      </c>
      <c r="E72" s="34">
        <f t="shared" si="6"/>
        <v>0</v>
      </c>
      <c r="F72" s="31">
        <f>EmissionsfaktorAutoOberklasse</f>
        <v>213</v>
      </c>
      <c r="G72" s="111">
        <f t="shared" si="7"/>
        <v>0</v>
      </c>
    </row>
    <row r="73" spans="1:7" x14ac:dyDescent="0.3">
      <c r="A73" s="89"/>
      <c r="B73" s="89"/>
      <c r="C73" s="31" t="s">
        <v>625</v>
      </c>
      <c r="D73" s="34">
        <f t="shared" si="8"/>
        <v>0</v>
      </c>
      <c r="E73" s="34">
        <f>D73*HochrechnungsfaktorVerkehr</f>
        <v>0</v>
      </c>
      <c r="F73" s="31">
        <f>EmissionsfaktorAutoFahrgemeinschaft</f>
        <v>95</v>
      </c>
      <c r="G73" s="111">
        <f t="shared" ref="G73" si="9">E73*F73/1000</f>
        <v>0</v>
      </c>
    </row>
    <row r="74" spans="1:7" x14ac:dyDescent="0.3">
      <c r="A74" s="89"/>
      <c r="B74" s="89"/>
      <c r="C74" s="123" t="s">
        <v>589</v>
      </c>
      <c r="D74" s="34">
        <f t="shared" ref="D74" si="10">D45*E45*2*AnzahlTageFruehjahrBisHerbst+F45*G45*2*AnzahlTageWinter</f>
        <v>5400</v>
      </c>
      <c r="E74" s="34">
        <f t="shared" ref="E74" si="11">D74*HochrechnungsfaktorVerkehr</f>
        <v>599400</v>
      </c>
      <c r="F74" s="31">
        <f>EmissionsfaktorEAuto</f>
        <v>79</v>
      </c>
      <c r="G74" s="111">
        <f t="shared" ref="G74" si="12">E74*F74/1000</f>
        <v>47352.6</v>
      </c>
    </row>
    <row r="75" spans="1:7" ht="15" thickBot="1" x14ac:dyDescent="0.35">
      <c r="A75" s="89"/>
      <c r="B75" s="89"/>
      <c r="C75" s="123" t="s">
        <v>78</v>
      </c>
      <c r="D75" s="34">
        <f t="shared" ref="D75" si="13">D46*E46*2*AnzahlTageFruehjahrBisHerbst+F46*G46*2*AnzahlTageWinter</f>
        <v>0</v>
      </c>
      <c r="E75" s="34">
        <f t="shared" si="6"/>
        <v>0</v>
      </c>
      <c r="F75" s="31"/>
      <c r="G75" s="300"/>
    </row>
    <row r="76" spans="1:7" ht="15" thickTop="1" x14ac:dyDescent="0.3">
      <c r="A76" s="89"/>
      <c r="B76" s="89"/>
      <c r="D76" s="86" t="s">
        <v>463</v>
      </c>
      <c r="E76" s="101">
        <f>SUM(E64:E75)</f>
        <v>2973024</v>
      </c>
      <c r="G76" s="138">
        <f>SUM(G64:G75)</f>
        <v>100093.14</v>
      </c>
    </row>
    <row r="77" spans="1:7" x14ac:dyDescent="0.3">
      <c r="A77" s="89"/>
      <c r="B77" s="89"/>
      <c r="C77" s="436" t="str">
        <f>IF($E$299="vereinfachte Abschätzung","Für die Emissionen der Schulwege der Schüler:innen wurde eine vereinfachte Abschätzung gewählt (ganz unten auf diesem Tabellenblatt): "&amp;TEXT($I$312,"#.##0")&amp;" kg CO₂","")</f>
        <v/>
      </c>
      <c r="D77" s="74"/>
      <c r="E77" s="74"/>
    </row>
    <row r="78" spans="1:7" x14ac:dyDescent="0.3">
      <c r="A78" s="89"/>
      <c r="B78" s="89"/>
      <c r="C78" t="str">
        <f>"Die Gesamtemissionen die in einem Jahr durch den Schulweg der Schüler:innen verursacht werden, betragen "&amp;TEXT($G$76,"#.##0")&amp;" kg CO₂."</f>
        <v>Die Gesamtemissionen die in einem Jahr durch den Schulweg der Schüler:innen verursacht werden, betragen 100.093 kg CO₂.</v>
      </c>
      <c r="D78" s="74"/>
      <c r="E78" s="74"/>
    </row>
    <row r="79" spans="1:7" x14ac:dyDescent="0.3">
      <c r="A79" s="89"/>
      <c r="B79" s="89"/>
      <c r="C79" t="str">
        <f>"Alle Schüler:innen der Schule legen auf ihrem Schulweg in einem Jahr ca. "&amp;TEXT(MROUND(E76,1000),"#.##0")&amp;" km zurück."</f>
        <v>Alle Schüler:innen der Schule legen auf ihrem Schulweg in einem Jahr ca. 2.973.000 km zurück.</v>
      </c>
      <c r="D79" s="74"/>
      <c r="E79" s="74"/>
    </row>
    <row r="80" spans="1:7" x14ac:dyDescent="0.3">
      <c r="A80" s="89"/>
      <c r="B80" s="89"/>
      <c r="C80" t="str">
        <f>"Dies entspricht der Strecke von "&amp;ROUND(E76/40075,1)&amp;" Erdumrundungen."</f>
        <v>Dies entspricht der Strecke von 74,2 Erdumrundungen.</v>
      </c>
      <c r="D80" s="74"/>
      <c r="E80" s="74"/>
    </row>
    <row r="81" spans="1:9" x14ac:dyDescent="0.3">
      <c r="A81" s="89"/>
      <c r="B81" s="89"/>
      <c r="C81" t="str">
        <f>"Der durchschnittliche Schulweg beträgt "&amp;TEXT(I47,"0,0")&amp;" km (einfache Strecke)."</f>
        <v>Der durchschnittliche Schulweg beträgt 8,3 km (einfache Strecke).</v>
      </c>
      <c r="D81" s="74"/>
      <c r="E81" s="74"/>
    </row>
    <row r="82" spans="1:9" x14ac:dyDescent="0.3">
      <c r="A82" s="89"/>
      <c r="B82" s="89"/>
      <c r="C82" t="str">
        <f>"Die Schüler:innen legen auf ihrem Schulweg im Durchschnitt pro Jahr "&amp;TEXT(E76/AnzahlSchueler,"#.##0")&amp;" km zurück."</f>
        <v>Die Schüler:innen legen auf ihrem Schulweg im Durchschnitt pro Jahr 2.976 km zurück.</v>
      </c>
      <c r="D82" s="74"/>
      <c r="E82" s="74"/>
    </row>
    <row r="83" spans="1:9" x14ac:dyDescent="0.3">
      <c r="A83" s="89"/>
      <c r="B83" s="89"/>
    </row>
    <row r="84" spans="1:9" x14ac:dyDescent="0.3">
      <c r="A84" s="89"/>
      <c r="B84" s="89"/>
    </row>
    <row r="85" spans="1:9" ht="18" thickBot="1" x14ac:dyDescent="0.4">
      <c r="A85" s="89"/>
      <c r="B85" s="89"/>
      <c r="C85" s="3" t="s">
        <v>1435</v>
      </c>
      <c r="D85" s="3"/>
      <c r="E85" s="3"/>
      <c r="F85" s="3"/>
      <c r="G85" s="3"/>
    </row>
    <row r="86" spans="1:9" ht="15" thickTop="1" x14ac:dyDescent="0.3">
      <c r="A86" s="89"/>
      <c r="B86" s="89"/>
    </row>
    <row r="87" spans="1:9" x14ac:dyDescent="0.3">
      <c r="A87" s="89"/>
      <c r="B87" s="89"/>
      <c r="C87" t="s">
        <v>1436</v>
      </c>
    </row>
    <row r="88" spans="1:9" x14ac:dyDescent="0.3">
      <c r="A88" s="89"/>
      <c r="B88" s="89"/>
    </row>
    <row r="89" spans="1:9" ht="18" thickBot="1" x14ac:dyDescent="0.4">
      <c r="A89" s="89"/>
      <c r="B89" s="89"/>
      <c r="C89" s="3" t="s">
        <v>1437</v>
      </c>
      <c r="D89" s="3"/>
    </row>
    <row r="90" spans="1:9" ht="7.95" customHeight="1" thickTop="1" x14ac:dyDescent="0.3">
      <c r="A90" s="89"/>
      <c r="B90" s="89"/>
    </row>
    <row r="91" spans="1:9" ht="15" thickBot="1" x14ac:dyDescent="0.35">
      <c r="A91" s="89"/>
      <c r="B91" s="89"/>
      <c r="D91" s="8" t="s">
        <v>470</v>
      </c>
      <c r="G91" s="8" t="s">
        <v>469</v>
      </c>
    </row>
    <row r="92" spans="1:9" ht="15" thickTop="1" x14ac:dyDescent="0.3">
      <c r="A92" s="89"/>
      <c r="B92" s="89"/>
      <c r="C92" s="119" t="s">
        <v>456</v>
      </c>
      <c r="D92" s="39" t="s">
        <v>89</v>
      </c>
      <c r="E92" s="21" t="s">
        <v>88</v>
      </c>
      <c r="F92" s="134" t="s">
        <v>465</v>
      </c>
      <c r="G92" s="39" t="s">
        <v>89</v>
      </c>
      <c r="H92" s="21" t="s">
        <v>88</v>
      </c>
      <c r="I92" s="134" t="s">
        <v>465</v>
      </c>
    </row>
    <row r="93" spans="1:9" x14ac:dyDescent="0.3">
      <c r="A93" s="89"/>
      <c r="B93" s="89"/>
      <c r="C93" s="146" t="s">
        <v>75</v>
      </c>
      <c r="D93" s="88">
        <f>D35</f>
        <v>0</v>
      </c>
      <c r="E93" s="88">
        <f>F35</f>
        <v>0</v>
      </c>
      <c r="F93" s="88">
        <f>H35</f>
        <v>0</v>
      </c>
      <c r="G93" s="141">
        <f>D93/$D$47</f>
        <v>0</v>
      </c>
      <c r="H93" s="141">
        <f t="shared" ref="H93:I93" si="14">E93/$D$47</f>
        <v>0</v>
      </c>
      <c r="I93" s="141">
        <f t="shared" si="14"/>
        <v>0</v>
      </c>
    </row>
    <row r="94" spans="1:9" x14ac:dyDescent="0.3">
      <c r="A94" s="89"/>
      <c r="B94" s="89"/>
      <c r="C94" s="142" t="s">
        <v>74</v>
      </c>
      <c r="D94" s="88">
        <f>D36</f>
        <v>6</v>
      </c>
      <c r="E94" s="88">
        <f>F36</f>
        <v>5</v>
      </c>
      <c r="F94" s="88">
        <f>H36</f>
        <v>5.6944444444444446</v>
      </c>
      <c r="G94" s="141">
        <f t="shared" ref="G94:G97" si="15">D94/$D$47</f>
        <v>0.66666666666666663</v>
      </c>
      <c r="H94" s="141">
        <f t="shared" ref="H94:H97" si="16">E94/$D$47</f>
        <v>0.55555555555555558</v>
      </c>
      <c r="I94" s="141">
        <f t="shared" ref="I94:I97" si="17">F94/$D$47</f>
        <v>0.63271604938271608</v>
      </c>
    </row>
    <row r="95" spans="1:9" x14ac:dyDescent="0.3">
      <c r="A95" s="89"/>
      <c r="B95" s="89"/>
      <c r="C95" s="143" t="s">
        <v>471</v>
      </c>
      <c r="D95" s="88">
        <f>D37+D38</f>
        <v>2</v>
      </c>
      <c r="E95" s="88">
        <f>F37+F38</f>
        <v>3</v>
      </c>
      <c r="F95" s="88">
        <f>H37+H38</f>
        <v>2.3055555555555554</v>
      </c>
      <c r="G95" s="141">
        <f t="shared" si="15"/>
        <v>0.22222222222222221</v>
      </c>
      <c r="H95" s="141">
        <f t="shared" si="16"/>
        <v>0.33333333333333331</v>
      </c>
      <c r="I95" s="141">
        <f t="shared" si="17"/>
        <v>0.25617283950617281</v>
      </c>
    </row>
    <row r="96" spans="1:9" x14ac:dyDescent="0.3">
      <c r="A96" s="89"/>
      <c r="B96" s="89"/>
      <c r="C96" s="144" t="s">
        <v>417</v>
      </c>
      <c r="D96" s="88">
        <f>D41+D42+D43+D45+D44</f>
        <v>1</v>
      </c>
      <c r="E96" s="88">
        <f>F41+F42+F43+F45+F44</f>
        <v>1</v>
      </c>
      <c r="F96" s="88">
        <f>H41+H42+H43+H45+H44</f>
        <v>1</v>
      </c>
      <c r="G96" s="141">
        <f t="shared" si="15"/>
        <v>0.1111111111111111</v>
      </c>
      <c r="H96" s="141">
        <f t="shared" si="16"/>
        <v>0.1111111111111111</v>
      </c>
      <c r="I96" s="141">
        <f t="shared" si="17"/>
        <v>0.1111111111111111</v>
      </c>
    </row>
    <row r="97" spans="1:9" x14ac:dyDescent="0.3">
      <c r="A97" s="89"/>
      <c r="B97" s="89"/>
      <c r="C97" s="145" t="s">
        <v>78</v>
      </c>
      <c r="D97" s="88">
        <f>D39+D40+D46</f>
        <v>0</v>
      </c>
      <c r="E97" s="88">
        <f>F39+F40+F46</f>
        <v>0</v>
      </c>
      <c r="F97" s="88">
        <f>H39+H40+H46</f>
        <v>0</v>
      </c>
      <c r="G97" s="141">
        <f t="shared" si="15"/>
        <v>0</v>
      </c>
      <c r="H97" s="141">
        <f t="shared" si="16"/>
        <v>0</v>
      </c>
      <c r="I97" s="141">
        <f t="shared" si="17"/>
        <v>0</v>
      </c>
    </row>
    <row r="98" spans="1:9" x14ac:dyDescent="0.3">
      <c r="A98" s="89"/>
      <c r="B98" s="89"/>
      <c r="D98" s="65"/>
      <c r="E98" s="128"/>
    </row>
    <row r="99" spans="1:9" x14ac:dyDescent="0.3">
      <c r="A99" s="89"/>
      <c r="B99" s="89"/>
    </row>
    <row r="100" spans="1:9" x14ac:dyDescent="0.3">
      <c r="A100" s="89"/>
      <c r="B100" s="89"/>
    </row>
    <row r="101" spans="1:9" x14ac:dyDescent="0.3">
      <c r="A101" s="89"/>
      <c r="B101" s="89"/>
    </row>
    <row r="102" spans="1:9" x14ac:dyDescent="0.3">
      <c r="A102" s="89"/>
      <c r="B102" s="89"/>
    </row>
    <row r="103" spans="1:9" x14ac:dyDescent="0.3">
      <c r="A103" s="89"/>
      <c r="B103" s="89"/>
    </row>
    <row r="104" spans="1:9" x14ac:dyDescent="0.3">
      <c r="A104" s="89"/>
      <c r="B104" s="89"/>
    </row>
    <row r="105" spans="1:9" x14ac:dyDescent="0.3">
      <c r="A105" s="89"/>
      <c r="B105" s="89"/>
    </row>
    <row r="106" spans="1:9" x14ac:dyDescent="0.3">
      <c r="A106" s="89"/>
      <c r="B106" s="89"/>
    </row>
    <row r="107" spans="1:9" x14ac:dyDescent="0.3">
      <c r="A107" s="89"/>
      <c r="B107" s="89"/>
    </row>
    <row r="108" spans="1:9" x14ac:dyDescent="0.3">
      <c r="A108" s="89"/>
      <c r="B108" s="89"/>
    </row>
    <row r="109" spans="1:9" x14ac:dyDescent="0.3">
      <c r="A109" s="89"/>
      <c r="B109" s="89"/>
    </row>
    <row r="110" spans="1:9" x14ac:dyDescent="0.3">
      <c r="A110" s="89"/>
      <c r="B110" s="89"/>
    </row>
    <row r="111" spans="1:9" x14ac:dyDescent="0.3">
      <c r="A111" s="89"/>
      <c r="B111" s="89"/>
    </row>
    <row r="112" spans="1:9" x14ac:dyDescent="0.3">
      <c r="A112" s="89"/>
      <c r="B112" s="89"/>
    </row>
    <row r="113" spans="1:9" x14ac:dyDescent="0.3">
      <c r="A113" s="89"/>
      <c r="B113" s="89"/>
    </row>
    <row r="114" spans="1:9" x14ac:dyDescent="0.3">
      <c r="A114" s="89"/>
      <c r="B114" s="89"/>
    </row>
    <row r="115" spans="1:9" x14ac:dyDescent="0.3">
      <c r="A115" s="89"/>
      <c r="B115" s="89"/>
    </row>
    <row r="116" spans="1:9" s="75" customFormat="1" ht="42.6" customHeight="1" x14ac:dyDescent="0.3">
      <c r="A116" s="89"/>
      <c r="B116" s="89"/>
      <c r="C116" s="147" t="s">
        <v>1408</v>
      </c>
      <c r="D116" s="148"/>
      <c r="E116" s="637" t="s">
        <v>1409</v>
      </c>
      <c r="F116" s="637"/>
      <c r="G116" s="148"/>
      <c r="H116" s="637" t="s">
        <v>1410</v>
      </c>
      <c r="I116" s="637"/>
    </row>
    <row r="117" spans="1:9" x14ac:dyDescent="0.3">
      <c r="A117" s="89"/>
      <c r="B117" s="89"/>
      <c r="C117" s="149"/>
      <c r="D117" s="149"/>
      <c r="E117" s="149"/>
      <c r="F117" s="149"/>
      <c r="G117" s="149"/>
      <c r="H117" s="149"/>
    </row>
    <row r="118" spans="1:9" x14ac:dyDescent="0.3">
      <c r="A118" s="89"/>
      <c r="B118" s="89"/>
    </row>
    <row r="119" spans="1:9" x14ac:dyDescent="0.3">
      <c r="A119" s="89"/>
      <c r="B119" s="89"/>
    </row>
    <row r="120" spans="1:9" x14ac:dyDescent="0.3">
      <c r="A120" s="89"/>
      <c r="B120" s="89"/>
    </row>
    <row r="121" spans="1:9" x14ac:dyDescent="0.3">
      <c r="A121" s="89"/>
      <c r="B121" s="89"/>
    </row>
    <row r="122" spans="1:9" x14ac:dyDescent="0.3">
      <c r="A122" s="89"/>
      <c r="B122" s="89"/>
    </row>
    <row r="123" spans="1:9" x14ac:dyDescent="0.3">
      <c r="A123" s="89"/>
      <c r="B123" s="89"/>
    </row>
    <row r="124" spans="1:9" x14ac:dyDescent="0.3">
      <c r="A124" s="89"/>
      <c r="B124" s="89"/>
    </row>
    <row r="125" spans="1:9" x14ac:dyDescent="0.3">
      <c r="A125" s="89"/>
      <c r="B125" s="89"/>
    </row>
    <row r="126" spans="1:9" x14ac:dyDescent="0.3">
      <c r="A126" s="89"/>
      <c r="B126" s="89"/>
    </row>
    <row r="127" spans="1:9" x14ac:dyDescent="0.3">
      <c r="A127" s="89"/>
      <c r="B127" s="89"/>
    </row>
    <row r="128" spans="1:9" x14ac:dyDescent="0.3">
      <c r="A128" s="89"/>
      <c r="B128" s="89"/>
    </row>
    <row r="129" spans="1:8" ht="16.95" customHeight="1" x14ac:dyDescent="0.3">
      <c r="A129" s="89"/>
      <c r="B129" s="89"/>
    </row>
    <row r="130" spans="1:8" x14ac:dyDescent="0.3">
      <c r="A130" s="89"/>
      <c r="B130" s="89"/>
    </row>
    <row r="131" spans="1:8" ht="15" thickBot="1" x14ac:dyDescent="0.35">
      <c r="A131" s="89"/>
      <c r="B131" s="89"/>
      <c r="D131" s="74"/>
      <c r="E131" s="74"/>
    </row>
    <row r="132" spans="1:8" ht="15" thickTop="1" x14ac:dyDescent="0.3">
      <c r="A132" s="89"/>
      <c r="B132" s="89"/>
      <c r="C132" s="119" t="s">
        <v>595</v>
      </c>
      <c r="D132" s="120"/>
      <c r="E132" s="120"/>
      <c r="F132" s="121"/>
    </row>
    <row r="133" spans="1:8" x14ac:dyDescent="0.3">
      <c r="A133" s="89"/>
      <c r="B133" s="89"/>
    </row>
    <row r="134" spans="1:8" x14ac:dyDescent="0.3">
      <c r="A134" s="89"/>
      <c r="B134" s="89"/>
      <c r="C134" s="8" t="s">
        <v>1411</v>
      </c>
      <c r="F134" s="152" t="s">
        <v>1412</v>
      </c>
    </row>
    <row r="135" spans="1:8" ht="15.6" x14ac:dyDescent="0.35">
      <c r="A135" s="89"/>
      <c r="B135" s="89"/>
      <c r="D135" s="126" t="s">
        <v>460</v>
      </c>
      <c r="E135" s="126" t="s">
        <v>474</v>
      </c>
      <c r="F135" s="31"/>
      <c r="G135" s="125" t="s">
        <v>472</v>
      </c>
      <c r="H135" s="125" t="s">
        <v>475</v>
      </c>
    </row>
    <row r="136" spans="1:8" x14ac:dyDescent="0.3">
      <c r="A136" s="89"/>
      <c r="B136" s="89"/>
      <c r="C136" s="132" t="s">
        <v>75</v>
      </c>
      <c r="D136" s="88">
        <f>E64</f>
        <v>0</v>
      </c>
      <c r="E136" s="151">
        <f>D136/$D$141</f>
        <v>0</v>
      </c>
      <c r="F136" s="132" t="s">
        <v>75</v>
      </c>
      <c r="G136" s="88">
        <f>G64</f>
        <v>0</v>
      </c>
      <c r="H136" s="151">
        <f t="shared" ref="H136:H141" si="18">G136/$G$141</f>
        <v>0</v>
      </c>
    </row>
    <row r="137" spans="1:8" x14ac:dyDescent="0.3">
      <c r="A137" s="89"/>
      <c r="B137" s="89"/>
      <c r="C137" s="133" t="s">
        <v>74</v>
      </c>
      <c r="D137" s="34">
        <f>E65</f>
        <v>1205460</v>
      </c>
      <c r="E137" s="151">
        <f t="shared" ref="E137:E141" si="19">D137/$D$141</f>
        <v>0.40546594982078854</v>
      </c>
      <c r="F137" s="133" t="s">
        <v>74</v>
      </c>
      <c r="G137" s="34">
        <f>G65</f>
        <v>0</v>
      </c>
      <c r="H137" s="151">
        <f t="shared" si="18"/>
        <v>0</v>
      </c>
    </row>
    <row r="138" spans="1:8" x14ac:dyDescent="0.3">
      <c r="A138" s="89"/>
      <c r="B138" s="89"/>
      <c r="C138" s="133" t="s">
        <v>464</v>
      </c>
      <c r="D138" s="34">
        <f>E66+E67</f>
        <v>1168164</v>
      </c>
      <c r="E138" s="151">
        <f t="shared" si="19"/>
        <v>0.39292114695340502</v>
      </c>
      <c r="F138" s="133" t="s">
        <v>464</v>
      </c>
      <c r="G138" s="34">
        <f>G66+G67</f>
        <v>52740.54</v>
      </c>
      <c r="H138" s="151">
        <f t="shared" si="18"/>
        <v>0.52691463171202346</v>
      </c>
    </row>
    <row r="139" spans="1:8" x14ac:dyDescent="0.3">
      <c r="A139" s="89"/>
      <c r="B139" s="89"/>
      <c r="C139" s="133" t="s">
        <v>417</v>
      </c>
      <c r="D139" s="34">
        <f>E70+E71+E72+E74+E73</f>
        <v>599400</v>
      </c>
      <c r="E139" s="151">
        <f t="shared" si="19"/>
        <v>0.20161290322580644</v>
      </c>
      <c r="F139" s="133" t="s">
        <v>417</v>
      </c>
      <c r="G139" s="34">
        <f>G70+G71+G72+G74+G73</f>
        <v>47352.6</v>
      </c>
      <c r="H139" s="151">
        <f t="shared" si="18"/>
        <v>0.47308536828797659</v>
      </c>
    </row>
    <row r="140" spans="1:8" x14ac:dyDescent="0.3">
      <c r="A140" s="89"/>
      <c r="B140" s="89"/>
      <c r="C140" s="133" t="s">
        <v>78</v>
      </c>
      <c r="D140" s="34">
        <f>E68+E69+E75</f>
        <v>0</v>
      </c>
      <c r="E140" s="151">
        <f>D140/$D$141</f>
        <v>0</v>
      </c>
      <c r="F140" s="133" t="s">
        <v>78</v>
      </c>
      <c r="G140" s="34">
        <f>G68+G69+G75</f>
        <v>0</v>
      </c>
      <c r="H140" s="151">
        <f t="shared" si="18"/>
        <v>0</v>
      </c>
    </row>
    <row r="141" spans="1:8" x14ac:dyDescent="0.3">
      <c r="A141" s="89"/>
      <c r="B141" s="89"/>
      <c r="C141" s="153" t="s">
        <v>473</v>
      </c>
      <c r="D141" s="150">
        <f>SUM(D136:D140)</f>
        <v>2973024</v>
      </c>
      <c r="E141" s="151">
        <f t="shared" si="19"/>
        <v>1</v>
      </c>
      <c r="F141" s="153" t="s">
        <v>473</v>
      </c>
      <c r="G141" s="150">
        <f>SUM(G136:G140)</f>
        <v>100093.14</v>
      </c>
      <c r="H141" s="151">
        <f t="shared" si="18"/>
        <v>1</v>
      </c>
    </row>
    <row r="142" spans="1:8" x14ac:dyDescent="0.3">
      <c r="A142" s="89"/>
      <c r="B142" s="89"/>
    </row>
    <row r="143" spans="1:8" x14ac:dyDescent="0.3">
      <c r="A143" s="89"/>
      <c r="B143" s="89"/>
    </row>
    <row r="144" spans="1:8" x14ac:dyDescent="0.3">
      <c r="A144" s="89"/>
      <c r="B144" s="89"/>
    </row>
    <row r="145" spans="1:9" x14ac:dyDescent="0.3">
      <c r="A145" s="89"/>
      <c r="B145" s="89"/>
    </row>
    <row r="146" spans="1:9" x14ac:dyDescent="0.3">
      <c r="A146" s="89"/>
      <c r="B146" s="89"/>
    </row>
    <row r="147" spans="1:9" x14ac:dyDescent="0.3">
      <c r="A147" s="89"/>
      <c r="B147" s="89"/>
    </row>
    <row r="148" spans="1:9" x14ac:dyDescent="0.3">
      <c r="A148" s="89"/>
      <c r="B148" s="89"/>
    </row>
    <row r="149" spans="1:9" x14ac:dyDescent="0.3">
      <c r="A149" s="89"/>
      <c r="B149" s="89"/>
    </row>
    <row r="150" spans="1:9" x14ac:dyDescent="0.3">
      <c r="A150" s="89"/>
      <c r="B150" s="89"/>
    </row>
    <row r="151" spans="1:9" x14ac:dyDescent="0.3">
      <c r="A151" s="89"/>
      <c r="B151" s="89"/>
    </row>
    <row r="152" spans="1:9" x14ac:dyDescent="0.3">
      <c r="A152" s="89"/>
      <c r="B152" s="89"/>
    </row>
    <row r="153" spans="1:9" x14ac:dyDescent="0.3">
      <c r="A153" s="89"/>
      <c r="B153" s="89"/>
    </row>
    <row r="154" spans="1:9" x14ac:dyDescent="0.3">
      <c r="A154" s="89"/>
      <c r="B154" s="89"/>
    </row>
    <row r="155" spans="1:9" ht="18.600000000000001" customHeight="1" x14ac:dyDescent="0.3">
      <c r="A155" s="89"/>
      <c r="B155" s="89"/>
    </row>
    <row r="156" spans="1:9" x14ac:dyDescent="0.3">
      <c r="A156" s="89"/>
      <c r="B156" s="89"/>
    </row>
    <row r="157" spans="1:9" x14ac:dyDescent="0.3">
      <c r="A157" s="89"/>
      <c r="B157" s="89"/>
    </row>
    <row r="158" spans="1:9" ht="18" thickBot="1" x14ac:dyDescent="0.4">
      <c r="A158" s="90" t="s">
        <v>397</v>
      </c>
      <c r="B158" s="90"/>
      <c r="C158" s="3" t="s">
        <v>1424</v>
      </c>
      <c r="D158" s="3"/>
      <c r="E158" s="3"/>
      <c r="F158" s="3"/>
      <c r="G158" s="3"/>
    </row>
    <row r="159" spans="1:9" ht="15" thickTop="1" x14ac:dyDescent="0.3">
      <c r="A159" s="90"/>
      <c r="B159" s="90"/>
    </row>
    <row r="160" spans="1:9" x14ac:dyDescent="0.3">
      <c r="A160" s="90"/>
      <c r="B160" s="90"/>
      <c r="C160" s="8" t="s">
        <v>477</v>
      </c>
      <c r="D160" s="39" t="s">
        <v>476</v>
      </c>
      <c r="E160" s="32"/>
      <c r="F160" s="21" t="s">
        <v>455</v>
      </c>
      <c r="G160" s="30"/>
      <c r="H160" s="134" t="s">
        <v>478</v>
      </c>
      <c r="I160" s="40"/>
    </row>
    <row r="161" spans="1:10" ht="28.8" x14ac:dyDescent="0.3">
      <c r="A161" s="90"/>
      <c r="B161" s="90"/>
      <c r="C161" t="s">
        <v>1430</v>
      </c>
      <c r="D161" s="99" t="s">
        <v>431</v>
      </c>
      <c r="E161" s="99" t="s">
        <v>448</v>
      </c>
      <c r="F161" s="100" t="s">
        <v>431</v>
      </c>
      <c r="G161" s="100" t="s">
        <v>448</v>
      </c>
      <c r="H161" s="114" t="s">
        <v>431</v>
      </c>
      <c r="I161" s="114" t="s">
        <v>448</v>
      </c>
    </row>
    <row r="162" spans="1:10" x14ac:dyDescent="0.3">
      <c r="A162" s="90"/>
      <c r="B162" s="90"/>
      <c r="C162" s="31" t="s">
        <v>75</v>
      </c>
      <c r="D162" s="88">
        <f>COUNTIFS('Daten Schulwege'!$E:$E,$C162,'Daten Schulwege'!$C:$C,$C$161)</f>
        <v>1</v>
      </c>
      <c r="E162" s="98">
        <f>IF(D162&gt;0,AVERAGEIFS('Daten Schulwege'!$A:$A,'Daten Schulwege'!E:E,$C162,'Daten Schulwege'!C:C,$C$161),0)</f>
        <v>0.5</v>
      </c>
      <c r="F162" s="88">
        <f>COUNTIFS('Daten Schulwege'!$F:$F,$C162,'Daten Schulwege'!$C:$C,$C$161)</f>
        <v>1</v>
      </c>
      <c r="G162" s="98">
        <f>IF(F162&gt;0,AVERAGEIFS('Daten Schulwege'!$A:$A,'Daten Schulwege'!F:F,$C162,'Daten Schulwege'!C:C,$C$161),0)</f>
        <v>0.5</v>
      </c>
      <c r="H162" s="88">
        <f t="shared" ref="H162" si="20">(D162*AnzahlTageFruehjahrBisHerbst+F162*AnzahlTageWinter)/(AnzahlTageFruehjahrBisHerbst+AnzahlTageWinter)</f>
        <v>1</v>
      </c>
      <c r="I162" s="98">
        <f t="shared" ref="I162:I173" si="21">IF(H162=0,0,(D162*E162*AnzahlTageFruehjahrBisHerbst+F162*G162*AnzahlTageWinter)/(H162*(AnzahlTageFruehjahrBisHerbst+AnzahlTageWinter)))</f>
        <v>0.5</v>
      </c>
    </row>
    <row r="163" spans="1:10" x14ac:dyDescent="0.3">
      <c r="A163" s="90"/>
      <c r="B163" s="90"/>
      <c r="C163" s="31" t="s">
        <v>74</v>
      </c>
      <c r="D163" s="88">
        <f>COUNTIFS('Daten Schulwege'!$E:$E,$C163,'Daten Schulwege'!$C:$C,$C$161)</f>
        <v>2</v>
      </c>
      <c r="E163" s="98">
        <f>IF(D163&gt;0,AVERAGEIFS('Daten Schulwege'!$A:$A,'Daten Schulwege'!E:E,$C163,'Daten Schulwege'!C:C,$C$161),0)</f>
        <v>8.25</v>
      </c>
      <c r="F163" s="88">
        <f>COUNTIFS('Daten Schulwege'!$F:$F,$C163,'Daten Schulwege'!$C:$C,$C$161)</f>
        <v>1</v>
      </c>
      <c r="G163" s="98">
        <f>IF(F163&gt;0,AVERAGEIFS('Daten Schulwege'!$A:$A,'Daten Schulwege'!F:F,$C163,'Daten Schulwege'!C:C,$C$161),0)</f>
        <v>10</v>
      </c>
      <c r="H163" s="88">
        <f t="shared" ref="H163:H173" si="22">(D163*AnzahlTageFruehjahrBisHerbst+F163*AnzahlTageWinter)/(AnzahlTageFruehjahrBisHerbst+AnzahlTageWinter)</f>
        <v>1.6944444444444444</v>
      </c>
      <c r="I163" s="98">
        <f t="shared" si="21"/>
        <v>8.5655737704918025</v>
      </c>
    </row>
    <row r="164" spans="1:10" x14ac:dyDescent="0.3">
      <c r="A164" s="90"/>
      <c r="B164" s="90"/>
      <c r="C164" s="31" t="s">
        <v>76</v>
      </c>
      <c r="D164" s="88">
        <f>COUNTIFS('Daten Schulwege'!$E:$E,$C164,'Daten Schulwege'!$C:$C,$C$161)</f>
        <v>1</v>
      </c>
      <c r="E164" s="98">
        <f>IF(D164&gt;0,AVERAGEIFS('Daten Schulwege'!$A:$A,'Daten Schulwege'!E:E,$C164,'Daten Schulwege'!C:C,$C$161),0)</f>
        <v>7</v>
      </c>
      <c r="F164" s="88">
        <f>COUNTIFS('Daten Schulwege'!$F:$F,$C164,'Daten Schulwege'!$C:$C,$C$161)</f>
        <v>1</v>
      </c>
      <c r="G164" s="98">
        <f>IF(F164&gt;0,AVERAGEIFS('Daten Schulwege'!$A:$A,'Daten Schulwege'!F:F,$C164,'Daten Schulwege'!C:C,$C$161),0)</f>
        <v>7</v>
      </c>
      <c r="H164" s="88">
        <f t="shared" si="22"/>
        <v>1</v>
      </c>
      <c r="I164" s="98">
        <f t="shared" si="21"/>
        <v>7</v>
      </c>
    </row>
    <row r="165" spans="1:10" x14ac:dyDescent="0.3">
      <c r="A165" s="90"/>
      <c r="B165" s="90"/>
      <c r="C165" s="31" t="s">
        <v>80</v>
      </c>
      <c r="D165" s="88">
        <f>COUNTIFS('Daten Schulwege'!$E:$E,$C165,'Daten Schulwege'!$C:$C,$C$161)</f>
        <v>2</v>
      </c>
      <c r="E165" s="98">
        <f>IF(D165&gt;0,AVERAGEIFS('Daten Schulwege'!$A:$A,'Daten Schulwege'!E:E,$C165,'Daten Schulwege'!C:C,$C$161),0)</f>
        <v>23.5</v>
      </c>
      <c r="F165" s="88">
        <f>COUNTIFS('Daten Schulwege'!$F:$F,$C165,'Daten Schulwege'!$C:$C,$C$161)</f>
        <v>1</v>
      </c>
      <c r="G165" s="98">
        <f>IF(F165&gt;0,AVERAGEIFS('Daten Schulwege'!$A:$A,'Daten Schulwege'!F:F,$C165,'Daten Schulwege'!C:C,$C$161),0)</f>
        <v>40</v>
      </c>
      <c r="H165" s="88">
        <f t="shared" si="22"/>
        <v>1.6944444444444444</v>
      </c>
      <c r="I165" s="98">
        <f t="shared" si="21"/>
        <v>26.475409836065573</v>
      </c>
    </row>
    <row r="166" spans="1:10" x14ac:dyDescent="0.3">
      <c r="A166" s="90"/>
      <c r="B166" s="90"/>
      <c r="C166" s="31" t="s">
        <v>79</v>
      </c>
      <c r="D166" s="88">
        <f>COUNTIFS('Daten Schulwege'!$E:$E,$C166,'Daten Schulwege'!$C:$C,$C$161)</f>
        <v>0</v>
      </c>
      <c r="E166" s="98">
        <f>IF(D166&gt;0,AVERAGEIFS('Daten Schulwege'!$A:$A,'Daten Schulwege'!E:E,$C166,'Daten Schulwege'!C:C,$C$161),0)</f>
        <v>0</v>
      </c>
      <c r="F166" s="88">
        <f>COUNTIFS('Daten Schulwege'!$F:$F,$C166,'Daten Schulwege'!$C:$C,$C$161)</f>
        <v>0</v>
      </c>
      <c r="G166" s="98">
        <f>IF(F166&gt;0,AVERAGEIFS('Daten Schulwege'!$A:$A,'Daten Schulwege'!F:F,$C166,'Daten Schulwege'!C:C,$C$161),0)</f>
        <v>0</v>
      </c>
      <c r="H166" s="88">
        <f t="shared" si="22"/>
        <v>0</v>
      </c>
      <c r="I166" s="98">
        <f t="shared" si="21"/>
        <v>0</v>
      </c>
    </row>
    <row r="167" spans="1:10" x14ac:dyDescent="0.3">
      <c r="A167" s="90"/>
      <c r="B167" s="90"/>
      <c r="C167" s="31" t="s">
        <v>77</v>
      </c>
      <c r="D167" s="88">
        <f>COUNTIFS('Daten Schulwege'!$E:$E,$C167,'Daten Schulwege'!$C:$C,$C$161)</f>
        <v>0</v>
      </c>
      <c r="E167" s="98">
        <f>IF(D167&gt;0,AVERAGEIFS('Daten Schulwege'!$A:$A,'Daten Schulwege'!E:E,$C167,'Daten Schulwege'!C:C,$C$161),0)</f>
        <v>0</v>
      </c>
      <c r="F167" s="88">
        <f>COUNTIFS('Daten Schulwege'!$F:$F,$C167,'Daten Schulwege'!$C:$C,$C$161)</f>
        <v>1</v>
      </c>
      <c r="G167" s="98">
        <f>IF(F167&gt;0,AVERAGEIFS('Daten Schulwege'!$A:$A,'Daten Schulwege'!F:F,$C167,'Daten Schulwege'!C:C,$C$161),0)</f>
        <v>6.5</v>
      </c>
      <c r="H167" s="88">
        <f t="shared" si="22"/>
        <v>0.30555555555555558</v>
      </c>
      <c r="I167" s="98">
        <f t="shared" si="21"/>
        <v>6.4999999999999991</v>
      </c>
    </row>
    <row r="168" spans="1:10" x14ac:dyDescent="0.3">
      <c r="A168" s="90"/>
      <c r="B168" s="90"/>
      <c r="C168" s="31" t="s">
        <v>81</v>
      </c>
      <c r="D168" s="88">
        <f>COUNTIFS('Daten Schulwege'!$E:$E,$C168,'Daten Schulwege'!$C:$C,$C$161)</f>
        <v>0</v>
      </c>
      <c r="E168" s="98">
        <f>IF(D168&gt;0,AVERAGEIFS('Daten Schulwege'!$A:$A,'Daten Schulwege'!E:E,$C168,'Daten Schulwege'!C:C,$C$161),0)</f>
        <v>0</v>
      </c>
      <c r="F168" s="88">
        <f>COUNTIFS('Daten Schulwege'!$F:$F,$C168,'Daten Schulwege'!$C:$C,$C$161)</f>
        <v>0</v>
      </c>
      <c r="G168" s="98">
        <f>IF(F168&gt;0,AVERAGEIFS('Daten Schulwege'!$A:$A,'Daten Schulwege'!F:F,$C168,'Daten Schulwege'!C:C,$C$161),0)</f>
        <v>0</v>
      </c>
      <c r="H168" s="88">
        <f t="shared" si="22"/>
        <v>0</v>
      </c>
      <c r="I168" s="98">
        <f t="shared" si="21"/>
        <v>0</v>
      </c>
    </row>
    <row r="169" spans="1:10" x14ac:dyDescent="0.3">
      <c r="A169" s="90"/>
      <c r="B169" s="90"/>
      <c r="C169" s="31" t="s">
        <v>82</v>
      </c>
      <c r="D169" s="88">
        <f>COUNTIFS('Daten Schulwege'!$E:$E,$C169,'Daten Schulwege'!$C:$C,$C$161)</f>
        <v>0</v>
      </c>
      <c r="E169" s="98">
        <f>IF(D169&gt;0,AVERAGEIFS('Daten Schulwege'!$A:$A,'Daten Schulwege'!E:E,$C169,'Daten Schulwege'!C:C,$C$161),0)</f>
        <v>0</v>
      </c>
      <c r="F169" s="88">
        <f>COUNTIFS('Daten Schulwege'!$F:$F,$C169,'Daten Schulwege'!$C:$C,$C$161)</f>
        <v>1</v>
      </c>
      <c r="G169" s="98">
        <f>IF(F169&gt;0,AVERAGEIFS('Daten Schulwege'!$A:$A,'Daten Schulwege'!F:F,$C169,'Daten Schulwege'!C:C,$C$161),0)</f>
        <v>7</v>
      </c>
      <c r="H169" s="88">
        <f t="shared" si="22"/>
        <v>0.30555555555555558</v>
      </c>
      <c r="I169" s="98">
        <f t="shared" si="21"/>
        <v>6.9999999999999991</v>
      </c>
    </row>
    <row r="170" spans="1:10" x14ac:dyDescent="0.3">
      <c r="A170" s="90"/>
      <c r="B170" s="90"/>
      <c r="C170" s="31" t="s">
        <v>83</v>
      </c>
      <c r="D170" s="88">
        <f>COUNTIFS('Daten Schulwege'!$E:$E,$C170,'Daten Schulwege'!$C:$C,$C$161)</f>
        <v>0</v>
      </c>
      <c r="E170" s="98">
        <f>IF(D170&gt;0,AVERAGEIFS('Daten Schulwege'!$A:$A,'Daten Schulwege'!E:E,$C170,'Daten Schulwege'!C:C,$C$161),0)</f>
        <v>0</v>
      </c>
      <c r="F170" s="88">
        <f>COUNTIFS('Daten Schulwege'!$F:$F,$C170,'Daten Schulwege'!$C:$C,$C$161)</f>
        <v>0</v>
      </c>
      <c r="G170" s="98">
        <f>IF(F170&gt;0,AVERAGEIFS('Daten Schulwege'!$A:$A,'Daten Schulwege'!F:F,$C170,'Daten Schulwege'!C:C,$C$161),0)</f>
        <v>0</v>
      </c>
      <c r="H170" s="88">
        <f t="shared" si="22"/>
        <v>0</v>
      </c>
      <c r="I170" s="98">
        <f t="shared" si="21"/>
        <v>0</v>
      </c>
    </row>
    <row r="171" spans="1:10" x14ac:dyDescent="0.3">
      <c r="A171" s="90"/>
      <c r="B171" s="90"/>
      <c r="C171" s="31" t="s">
        <v>625</v>
      </c>
      <c r="D171" s="88">
        <f>COUNTIFS('Daten Schulwege'!$E:$E,$C171,'Daten Schulwege'!$C:$C,$C$161)</f>
        <v>0</v>
      </c>
      <c r="E171" s="98">
        <f>IF(D171&gt;0,AVERAGEIFS('Daten Schulwege'!$A:$A,'Daten Schulwege'!E:E,$C171,'Daten Schulwege'!C:C,$C$161),0)</f>
        <v>0</v>
      </c>
      <c r="F171" s="88">
        <f>COUNTIFS('Daten Schulwege'!$F:$F,$C171,'Daten Schulwege'!$C:$C,$C$161)</f>
        <v>0</v>
      </c>
      <c r="G171" s="98">
        <f>IF(F171&gt;0,AVERAGEIFS('Daten Schulwege'!$A:$A,'Daten Schulwege'!F:F,$C171,'Daten Schulwege'!C:C,$C$161),0)</f>
        <v>0</v>
      </c>
      <c r="H171" s="88">
        <f t="shared" ref="H171" si="23">(D171*AnzahlTageFruehjahrBisHerbst+F171*AnzahlTageWinter)/(AnzahlTageFruehjahrBisHerbst+AnzahlTageWinter)</f>
        <v>0</v>
      </c>
      <c r="I171" s="98">
        <f t="shared" ref="I171" si="24">IF(H171=0,0,(D171*E171*AnzahlTageFruehjahrBisHerbst+F171*G171*AnzahlTageWinter)/(H171*(AnzahlTageFruehjahrBisHerbst+AnzahlTageWinter)))</f>
        <v>0</v>
      </c>
    </row>
    <row r="172" spans="1:10" x14ac:dyDescent="0.3">
      <c r="A172" s="90"/>
      <c r="B172" s="90"/>
      <c r="C172" s="31" t="s">
        <v>589</v>
      </c>
      <c r="D172" s="88">
        <f>COUNTIFS('Daten Schulwege'!$E:$E,$C172,'Daten Schulwege'!$C:$C,$C$161)</f>
        <v>0</v>
      </c>
      <c r="E172" s="98">
        <f>IF(D172&gt;0,AVERAGEIFS('Daten Schulwege'!$A:$A,'Daten Schulwege'!E:E,$C172,'Daten Schulwege'!C:C,$C$161),0)</f>
        <v>0</v>
      </c>
      <c r="F172" s="88">
        <f>COUNTIFS('Daten Schulwege'!$F:$F,$C172,'Daten Schulwege'!$C:$C,$C$161)</f>
        <v>0</v>
      </c>
      <c r="G172" s="98">
        <f>IF(F172&gt;0,AVERAGEIFS('Daten Schulwege'!$A:$A,'Daten Schulwege'!F:F,$C172,'Daten Schulwege'!C:C,$C$161),0)</f>
        <v>0</v>
      </c>
      <c r="H172" s="88">
        <f t="shared" ref="H172" si="25">(D172*AnzahlTageFruehjahrBisHerbst+F172*AnzahlTageWinter)/(AnzahlTageFruehjahrBisHerbst+AnzahlTageWinter)</f>
        <v>0</v>
      </c>
      <c r="I172" s="98">
        <f t="shared" ref="I172" si="26">IF(H172=0,0,(D172*E172*AnzahlTageFruehjahrBisHerbst+F172*G172*AnzahlTageWinter)/(H172*(AnzahlTageFruehjahrBisHerbst+AnzahlTageWinter)))</f>
        <v>0</v>
      </c>
    </row>
    <row r="173" spans="1:10" x14ac:dyDescent="0.3">
      <c r="A173" s="90"/>
      <c r="B173" s="90"/>
      <c r="C173" s="31" t="s">
        <v>78</v>
      </c>
      <c r="D173" s="88">
        <f>COUNTIFS('Daten Schulwege'!$E:$E,$C173,'Daten Schulwege'!$C:$C,$C$161)</f>
        <v>0</v>
      </c>
      <c r="E173" s="98">
        <f>IF(D173&gt;0,AVERAGEIFS('Daten Schulwege'!$A:$A,'Daten Schulwege'!E:E,$C173,'Daten Schulwege'!C:C,$C$161),0)</f>
        <v>0</v>
      </c>
      <c r="F173" s="88">
        <f>COUNTIFS('Daten Schulwege'!$F:$F,$C173,'Daten Schulwege'!$C:$C,$C$161)</f>
        <v>0</v>
      </c>
      <c r="G173" s="98">
        <f>IF(F173&gt;0,AVERAGEIFS('Daten Schulwege'!$A:$A,'Daten Schulwege'!F:F,$C173,'Daten Schulwege'!C:C,$C$161),0)</f>
        <v>0</v>
      </c>
      <c r="H173" s="88">
        <f t="shared" si="22"/>
        <v>0</v>
      </c>
      <c r="I173" s="98">
        <f t="shared" si="21"/>
        <v>0</v>
      </c>
    </row>
    <row r="174" spans="1:10" x14ac:dyDescent="0.3">
      <c r="A174" s="90"/>
      <c r="B174" s="90"/>
      <c r="C174" s="131" t="s">
        <v>57</v>
      </c>
      <c r="D174" s="156">
        <f>SUM(D162:D173)</f>
        <v>6</v>
      </c>
      <c r="G174" s="65"/>
      <c r="H174" s="154" t="s">
        <v>479</v>
      </c>
      <c r="I174" s="155">
        <f>SUMPRODUCT(H162:H173,I162:I173)/SUM(H162:H173)</f>
        <v>11.833333333333334</v>
      </c>
    </row>
    <row r="175" spans="1:10" x14ac:dyDescent="0.3">
      <c r="A175" s="90"/>
      <c r="B175" s="90"/>
      <c r="D175" s="65"/>
      <c r="E175" s="128"/>
      <c r="F175" s="129"/>
      <c r="G175" s="65"/>
      <c r="H175" s="65"/>
      <c r="I175" s="130"/>
      <c r="J175" s="129"/>
    </row>
    <row r="176" spans="1:10" ht="18" thickBot="1" x14ac:dyDescent="0.4">
      <c r="A176" s="90"/>
      <c r="B176" s="90"/>
      <c r="C176" s="3" t="s">
        <v>91</v>
      </c>
      <c r="D176" s="3"/>
      <c r="E176" s="3"/>
      <c r="F176" s="3"/>
      <c r="G176" s="3"/>
      <c r="H176" s="65"/>
      <c r="I176" s="130"/>
      <c r="J176" s="129"/>
    </row>
    <row r="177" spans="1:10" ht="15" thickTop="1" x14ac:dyDescent="0.3">
      <c r="A177" s="90"/>
      <c r="B177" s="90"/>
      <c r="D177" s="65"/>
      <c r="E177" s="128"/>
      <c r="F177" s="129"/>
      <c r="G177" s="65"/>
      <c r="H177" s="65"/>
      <c r="I177" s="129"/>
      <c r="J177" s="129"/>
    </row>
    <row r="178" spans="1:10" x14ac:dyDescent="0.3">
      <c r="A178" s="90"/>
      <c r="B178" s="90"/>
      <c r="C178" t="s">
        <v>1438</v>
      </c>
      <c r="E178" s="135">
        <f>D174</f>
        <v>6</v>
      </c>
      <c r="F178" s="129" t="str">
        <f>IF(AND($E$180&gt;0,$E$180&lt;0.4),"Hinweis:","")</f>
        <v>Hinweis:</v>
      </c>
      <c r="G178" s="65"/>
      <c r="H178" s="65"/>
      <c r="I178" s="129"/>
      <c r="J178" s="129"/>
    </row>
    <row r="179" spans="1:10" x14ac:dyDescent="0.3">
      <c r="A179" s="90"/>
      <c r="B179" s="90"/>
      <c r="C179" t="s">
        <v>1439</v>
      </c>
      <c r="D179" s="65"/>
      <c r="E179" s="135">
        <f>AnzahlLehrer</f>
        <v>99</v>
      </c>
      <c r="F179" s="129" t="str">
        <f>IF(AND($E$180&gt;0,$E$180&lt;0.4),"Die Teilnehmerquote der Umfrage liegt mit nur "&amp;TEXT($E$180,"0 %")&amp;" sehr niedrig. Hierdurch kann es...","")</f>
        <v>Die Teilnehmerquote der Umfrage liegt mit nur 6 % sehr niedrig. Hierdurch kann es...</v>
      </c>
      <c r="G179" s="65"/>
      <c r="H179" s="65"/>
      <c r="I179" s="129"/>
      <c r="J179" s="129"/>
    </row>
    <row r="180" spans="1:10" x14ac:dyDescent="0.3">
      <c r="A180" s="90"/>
      <c r="B180" s="90"/>
      <c r="C180" t="s">
        <v>466</v>
      </c>
      <c r="D180" s="65"/>
      <c r="E180" s="136">
        <f>E178/E179</f>
        <v>6.0606060606060608E-2</v>
      </c>
      <c r="F180" s="129" t="str">
        <f>IF(AND($E$180&gt;0,$E$180&lt;0.4),"... bei der Hochrechnung zu größeren Ungenauigkeiten kommen. Versucht doch noch...","")</f>
        <v>... bei der Hochrechnung zu größeren Ungenauigkeiten kommen. Versucht doch noch...</v>
      </c>
      <c r="G180" s="65"/>
      <c r="H180" s="65"/>
      <c r="I180" s="129"/>
      <c r="J180" s="129"/>
    </row>
    <row r="181" spans="1:10" x14ac:dyDescent="0.3">
      <c r="A181" s="90"/>
      <c r="B181" s="90"/>
      <c r="C181" t="s">
        <v>1446</v>
      </c>
      <c r="D181" s="65"/>
      <c r="E181" s="137">
        <f>AnzahlLehrer/E178</f>
        <v>16.5</v>
      </c>
      <c r="F181" s="129" t="str">
        <f>IF(AND($E$180&gt;0,$E$180&lt;0.4),"... ein paar weitere Lehrer:innen zur Teilnahme an der Umfrage zu motivieren.","")</f>
        <v>... ein paar weitere Lehrer:innen zur Teilnahme an der Umfrage zu motivieren.</v>
      </c>
      <c r="G181" s="65"/>
      <c r="H181" s="65"/>
      <c r="I181" s="130"/>
      <c r="J181" s="129"/>
    </row>
    <row r="182" spans="1:10" x14ac:dyDescent="0.3">
      <c r="A182" s="90"/>
      <c r="B182" s="90"/>
      <c r="D182" s="65"/>
      <c r="E182" s="128"/>
      <c r="F182" s="129"/>
      <c r="G182" s="65"/>
      <c r="H182" s="65"/>
      <c r="I182" s="130"/>
      <c r="J182" s="129"/>
    </row>
    <row r="183" spans="1:10" x14ac:dyDescent="0.3">
      <c r="A183" s="90"/>
      <c r="B183" s="90"/>
      <c r="C183" s="8" t="str">
        <f>"An der Mobilitätsbefragung haben insgesamt "&amp;D174&amp;" Lehrer:innen teilgenommen."</f>
        <v>An der Mobilitätsbefragung haben insgesamt 6 Lehrer:innen teilgenommen.</v>
      </c>
      <c r="D183" s="65"/>
      <c r="E183" s="128"/>
      <c r="F183" s="129"/>
      <c r="G183" s="65"/>
      <c r="H183" s="65"/>
      <c r="I183" s="130"/>
      <c r="J183" s="129"/>
    </row>
    <row r="184" spans="1:10" x14ac:dyDescent="0.3">
      <c r="A184" s="90"/>
      <c r="B184" s="90"/>
      <c r="C184" s="8" t="str">
        <f>"Dies entspricht "&amp;TEXT(D174/AnzahlLehrer,"0,0 %")&amp;" der insgesamt "&amp;AnzahlLehrer&amp;" Lehrer:innen an der Schule."</f>
        <v>Dies entspricht 6,1 % der insgesamt 99 Lehrer:innen an der Schule.</v>
      </c>
      <c r="D184" s="65"/>
      <c r="E184" s="128"/>
      <c r="F184" s="129"/>
      <c r="G184" s="65"/>
      <c r="H184" s="65"/>
      <c r="I184" s="130"/>
      <c r="J184" s="129"/>
    </row>
    <row r="185" spans="1:10" ht="15.6" x14ac:dyDescent="0.35">
      <c r="A185" s="90"/>
      <c r="B185" s="90"/>
      <c r="C185" t="s">
        <v>1413</v>
      </c>
      <c r="I185" s="129"/>
      <c r="J185" s="129"/>
    </row>
    <row r="186" spans="1:10" x14ac:dyDescent="0.3">
      <c r="A186" s="90"/>
      <c r="B186" s="90"/>
    </row>
    <row r="187" spans="1:10" ht="20.399999999999999" thickBot="1" x14ac:dyDescent="0.5">
      <c r="A187" s="90"/>
      <c r="B187" s="90"/>
      <c r="C187" s="3" t="s">
        <v>1414</v>
      </c>
      <c r="D187" s="3"/>
      <c r="E187" s="3"/>
      <c r="F187" s="3"/>
      <c r="G187" s="3"/>
    </row>
    <row r="188" spans="1:10" ht="15" thickTop="1" x14ac:dyDescent="0.3">
      <c r="A188" s="90"/>
      <c r="B188" s="90"/>
    </row>
    <row r="189" spans="1:10" x14ac:dyDescent="0.3">
      <c r="A189" s="90"/>
      <c r="B189" s="90"/>
      <c r="D189" s="126" t="s">
        <v>460</v>
      </c>
      <c r="E189" s="127"/>
      <c r="F189" s="124" t="s">
        <v>92</v>
      </c>
      <c r="G189" s="125" t="s">
        <v>93</v>
      </c>
    </row>
    <row r="190" spans="1:10" ht="15.6" x14ac:dyDescent="0.3">
      <c r="A190" s="90"/>
      <c r="B190" s="90"/>
      <c r="D190" s="139" t="s">
        <v>461</v>
      </c>
      <c r="E190" s="139" t="s">
        <v>462</v>
      </c>
      <c r="F190" s="140" t="s">
        <v>467</v>
      </c>
      <c r="G190" s="299" t="s">
        <v>468</v>
      </c>
    </row>
    <row r="191" spans="1:10" x14ac:dyDescent="0.3">
      <c r="A191" s="90"/>
      <c r="B191" s="90"/>
      <c r="C191" s="123" t="s">
        <v>75</v>
      </c>
      <c r="D191" s="34">
        <f t="shared" ref="D191:D200" si="27">D162*E162*2*AnzahlTageFruehjahrBisHerbst+F162*G162*2*AnzahlTageWinter</f>
        <v>180</v>
      </c>
      <c r="E191" s="34">
        <f t="shared" ref="E191:E202" si="28">D191*HochrechnungsfaktorVerkehrLehrer</f>
        <v>2970</v>
      </c>
      <c r="F191" s="31">
        <v>0</v>
      </c>
      <c r="G191" s="111">
        <f>E191*F191/1000</f>
        <v>0</v>
      </c>
    </row>
    <row r="192" spans="1:10" x14ac:dyDescent="0.3">
      <c r="A192" s="90"/>
      <c r="B192" s="90"/>
      <c r="C192" s="123" t="s">
        <v>74</v>
      </c>
      <c r="D192" s="34">
        <f t="shared" si="27"/>
        <v>5225</v>
      </c>
      <c r="E192" s="34">
        <f t="shared" si="28"/>
        <v>86212.5</v>
      </c>
      <c r="F192" s="31">
        <v>0</v>
      </c>
      <c r="G192" s="111">
        <f t="shared" ref="G192:G199" si="29">E192*F192/1000</f>
        <v>0</v>
      </c>
    </row>
    <row r="193" spans="1:7" x14ac:dyDescent="0.3">
      <c r="A193" s="90"/>
      <c r="B193" s="90"/>
      <c r="C193" s="123" t="s">
        <v>76</v>
      </c>
      <c r="D193" s="34">
        <f t="shared" si="27"/>
        <v>2520</v>
      </c>
      <c r="E193" s="34">
        <f t="shared" si="28"/>
        <v>41580</v>
      </c>
      <c r="F193" s="31">
        <f>EmissionsfaktorSchulbus</f>
        <v>31</v>
      </c>
      <c r="G193" s="111">
        <f t="shared" si="29"/>
        <v>1288.98</v>
      </c>
    </row>
    <row r="194" spans="1:7" x14ac:dyDescent="0.3">
      <c r="A194" s="90"/>
      <c r="B194" s="90"/>
      <c r="C194" s="123" t="s">
        <v>80</v>
      </c>
      <c r="D194" s="34">
        <f t="shared" si="27"/>
        <v>16150</v>
      </c>
      <c r="E194" s="34">
        <f t="shared" si="28"/>
        <v>266475</v>
      </c>
      <c r="F194" s="31">
        <f>EmissionsfaktorÖPNV</f>
        <v>55</v>
      </c>
      <c r="G194" s="111">
        <f t="shared" si="29"/>
        <v>14656.125</v>
      </c>
    </row>
    <row r="195" spans="1:7" x14ac:dyDescent="0.3">
      <c r="A195" s="90"/>
      <c r="B195" s="90"/>
      <c r="C195" s="123" t="s">
        <v>79</v>
      </c>
      <c r="D195" s="34">
        <f t="shared" si="27"/>
        <v>0</v>
      </c>
      <c r="E195" s="34">
        <f t="shared" si="28"/>
        <v>0</v>
      </c>
      <c r="F195" s="31">
        <f>EmissionsfaktorEBike</f>
        <v>4</v>
      </c>
      <c r="G195" s="111">
        <f t="shared" si="29"/>
        <v>0</v>
      </c>
    </row>
    <row r="196" spans="1:7" x14ac:dyDescent="0.3">
      <c r="A196" s="90"/>
      <c r="B196" s="90"/>
      <c r="C196" s="123" t="s">
        <v>77</v>
      </c>
      <c r="D196" s="34">
        <f t="shared" si="27"/>
        <v>715</v>
      </c>
      <c r="E196" s="34">
        <f t="shared" si="28"/>
        <v>11797.5</v>
      </c>
      <c r="F196" s="31">
        <f>EmissionsfaktorMoped</f>
        <v>60</v>
      </c>
      <c r="G196" s="111">
        <f t="shared" si="29"/>
        <v>707.85</v>
      </c>
    </row>
    <row r="197" spans="1:7" x14ac:dyDescent="0.3">
      <c r="A197" s="90"/>
      <c r="B197" s="90"/>
      <c r="C197" s="123" t="s">
        <v>81</v>
      </c>
      <c r="D197" s="34">
        <f t="shared" si="27"/>
        <v>0</v>
      </c>
      <c r="E197" s="34">
        <f t="shared" si="28"/>
        <v>0</v>
      </c>
      <c r="F197" s="31">
        <f>EmissionsfaktorAutoKleinwagen</f>
        <v>136</v>
      </c>
      <c r="G197" s="111">
        <f t="shared" si="29"/>
        <v>0</v>
      </c>
    </row>
    <row r="198" spans="1:7" x14ac:dyDescent="0.3">
      <c r="A198" s="90"/>
      <c r="B198" s="90"/>
      <c r="C198" s="123" t="s">
        <v>82</v>
      </c>
      <c r="D198" s="34">
        <f t="shared" si="27"/>
        <v>770</v>
      </c>
      <c r="E198" s="34">
        <f t="shared" si="28"/>
        <v>12705</v>
      </c>
      <c r="F198" s="31">
        <f>EmissionsfaktorAutoMittelklasse</f>
        <v>170</v>
      </c>
      <c r="G198" s="111">
        <f t="shared" si="29"/>
        <v>2159.85</v>
      </c>
    </row>
    <row r="199" spans="1:7" x14ac:dyDescent="0.3">
      <c r="A199" s="90"/>
      <c r="B199" s="90"/>
      <c r="C199" s="123" t="s">
        <v>83</v>
      </c>
      <c r="D199" s="34">
        <f t="shared" si="27"/>
        <v>0</v>
      </c>
      <c r="E199" s="34">
        <f t="shared" si="28"/>
        <v>0</v>
      </c>
      <c r="F199" s="31">
        <f>EmissionsfaktorAutoOberklasse</f>
        <v>213</v>
      </c>
      <c r="G199" s="111">
        <f t="shared" si="29"/>
        <v>0</v>
      </c>
    </row>
    <row r="200" spans="1:7" x14ac:dyDescent="0.3">
      <c r="A200" s="90"/>
      <c r="B200" s="90"/>
      <c r="C200" s="31" t="s">
        <v>625</v>
      </c>
      <c r="D200" s="34">
        <f t="shared" si="27"/>
        <v>0</v>
      </c>
      <c r="E200" s="34">
        <f t="shared" ref="E200" si="30">D200*HochrechnungsfaktorVerkehrLehrer</f>
        <v>0</v>
      </c>
      <c r="F200" s="31">
        <f>EmissionsfaktorAutoFahrgemeinschaft</f>
        <v>95</v>
      </c>
      <c r="G200" s="111">
        <f t="shared" ref="G200" si="31">E200*F200/1000</f>
        <v>0</v>
      </c>
    </row>
    <row r="201" spans="1:7" x14ac:dyDescent="0.3">
      <c r="A201" s="90"/>
      <c r="B201" s="90"/>
      <c r="C201" s="123" t="s">
        <v>589</v>
      </c>
      <c r="D201" s="34">
        <f t="shared" ref="D201" si="32">D172*E172*2*AnzahlTageFruehjahrBisHerbst+F172*G172*2*AnzahlTageWinter</f>
        <v>0</v>
      </c>
      <c r="E201" s="34">
        <f t="shared" ref="E201" si="33">D201*HochrechnungsfaktorVerkehrLehrer</f>
        <v>0</v>
      </c>
      <c r="F201" s="31">
        <f>EmissionsfaktorEAuto</f>
        <v>79</v>
      </c>
      <c r="G201" s="111">
        <f t="shared" ref="G201" si="34">E201*F201/1000</f>
        <v>0</v>
      </c>
    </row>
    <row r="202" spans="1:7" ht="15" thickBot="1" x14ac:dyDescent="0.35">
      <c r="A202" s="90"/>
      <c r="B202" s="90"/>
      <c r="C202" s="123" t="s">
        <v>78</v>
      </c>
      <c r="D202" s="34">
        <f t="shared" ref="D202" si="35">D173*E173*2*AnzahlTageFruehjahrBisHerbst+F173*G173*2*AnzahlTageWinter</f>
        <v>0</v>
      </c>
      <c r="E202" s="34">
        <f t="shared" si="28"/>
        <v>0</v>
      </c>
      <c r="F202" s="31"/>
      <c r="G202" s="300"/>
    </row>
    <row r="203" spans="1:7" ht="15" thickTop="1" x14ac:dyDescent="0.3">
      <c r="A203" s="90"/>
      <c r="B203" s="90"/>
      <c r="D203" s="86" t="s">
        <v>463</v>
      </c>
      <c r="E203" s="101">
        <f>SUM(E191:E202)</f>
        <v>421740</v>
      </c>
      <c r="G203" s="138">
        <f>SUM(G191:G202)</f>
        <v>18812.804999999997</v>
      </c>
    </row>
    <row r="204" spans="1:7" x14ac:dyDescent="0.3">
      <c r="A204" s="90"/>
      <c r="B204" s="90"/>
      <c r="C204" s="436" t="str">
        <f>IF($E$317="vereinfachte Abschätzung","Für die Emissionen der Schulwege der Lehrer:innen wurde eine vereinfachte Abschätzung gewählt (ganz unten auf diesem Tabellenblatt): "&amp;TEXT($I$330,"#.##0")&amp;" kg CO₂","")</f>
        <v/>
      </c>
      <c r="D204" s="74"/>
      <c r="E204" s="74"/>
    </row>
    <row r="205" spans="1:7" x14ac:dyDescent="0.3">
      <c r="A205" s="90"/>
      <c r="B205" s="90"/>
      <c r="C205" t="str">
        <f>"Die Gesamtemissionen die in einem Jahr durch den Schulweg der Lehrer:innen verursacht werden, betragen "&amp;TEXT($G$203,"#.##0")&amp;" kg CO₂."</f>
        <v>Die Gesamtemissionen die in einem Jahr durch den Schulweg der Lehrer:innen verursacht werden, betragen 18.813 kg CO₂.</v>
      </c>
      <c r="D205" s="74"/>
      <c r="E205" s="74"/>
    </row>
    <row r="206" spans="1:7" x14ac:dyDescent="0.3">
      <c r="A206" s="90"/>
      <c r="B206" s="90"/>
      <c r="C206" t="str">
        <f>"Alle Lehrer:innen der Schule legen auf ihrem Schulweg in einem Jahr ca. "&amp;TEXT(MROUND(E203,1000),"#.##0")&amp;" km zurück."</f>
        <v>Alle Lehrer:innen der Schule legen auf ihrem Schulweg in einem Jahr ca. 422.000 km zurück.</v>
      </c>
      <c r="D206" s="74"/>
      <c r="E206" s="74"/>
    </row>
    <row r="207" spans="1:7" x14ac:dyDescent="0.3">
      <c r="A207" s="90"/>
      <c r="B207" s="90"/>
      <c r="C207" t="str">
        <f>"Dies entspricht der Strecke von "&amp;ROUND(E203/40075,1)&amp;" Erdumrundungen."</f>
        <v>Dies entspricht der Strecke von 10,5 Erdumrundungen.</v>
      </c>
      <c r="D207" s="74"/>
      <c r="E207" s="74"/>
    </row>
    <row r="208" spans="1:7" x14ac:dyDescent="0.3">
      <c r="A208" s="90"/>
      <c r="B208" s="90"/>
      <c r="C208" t="str">
        <f>"Der durchschnittliche Schulweg beträgt "&amp;TEXT(I174,"0,0")&amp;" km (einfache Strecke)."</f>
        <v>Der durchschnittliche Schulweg beträgt 11,8 km (einfache Strecke).</v>
      </c>
      <c r="D208" s="74"/>
      <c r="E208" s="74"/>
    </row>
    <row r="209" spans="1:9" x14ac:dyDescent="0.3">
      <c r="A209" s="90"/>
      <c r="B209" s="90"/>
      <c r="C209" t="str">
        <f>"Die Lehrer:innen legen auf ihrem Schulweg im Durchschnitt pro Jahr "&amp;TEXT(E203/AnzahlLehrer,"#.##0")&amp;" km zurück."</f>
        <v>Die Lehrer:innen legen auf ihrem Schulweg im Durchschnitt pro Jahr 4.260 km zurück.</v>
      </c>
      <c r="D209" s="74"/>
      <c r="E209" s="74"/>
    </row>
    <row r="210" spans="1:9" x14ac:dyDescent="0.3">
      <c r="A210" s="90"/>
      <c r="B210" s="90"/>
    </row>
    <row r="211" spans="1:9" x14ac:dyDescent="0.3">
      <c r="A211" s="90"/>
      <c r="B211" s="90"/>
    </row>
    <row r="212" spans="1:9" ht="18" thickBot="1" x14ac:dyDescent="0.4">
      <c r="A212" s="90"/>
      <c r="B212" s="90"/>
      <c r="C212" s="3" t="s">
        <v>1415</v>
      </c>
      <c r="D212" s="3"/>
      <c r="E212" s="3"/>
      <c r="F212" s="3"/>
      <c r="G212" s="3"/>
    </row>
    <row r="213" spans="1:9" ht="15" thickTop="1" x14ac:dyDescent="0.3">
      <c r="A213" s="90"/>
      <c r="B213" s="90"/>
    </row>
    <row r="214" spans="1:9" x14ac:dyDescent="0.3">
      <c r="A214" s="90"/>
      <c r="B214" s="90"/>
      <c r="C214" t="s">
        <v>1416</v>
      </c>
    </row>
    <row r="215" spans="1:9" x14ac:dyDescent="0.3">
      <c r="A215" s="90"/>
      <c r="B215" s="90"/>
    </row>
    <row r="216" spans="1:9" ht="18" thickBot="1" x14ac:dyDescent="0.4">
      <c r="A216" s="90"/>
      <c r="B216" s="90"/>
      <c r="C216" s="3" t="s">
        <v>1417</v>
      </c>
      <c r="D216" s="3"/>
    </row>
    <row r="217" spans="1:9" ht="15" thickTop="1" x14ac:dyDescent="0.3">
      <c r="A217" s="90"/>
      <c r="B217" s="90"/>
    </row>
    <row r="218" spans="1:9" ht="15" thickBot="1" x14ac:dyDescent="0.35">
      <c r="A218" s="90"/>
      <c r="B218" s="90"/>
      <c r="D218" s="8" t="s">
        <v>470</v>
      </c>
      <c r="G218" s="8" t="s">
        <v>469</v>
      </c>
    </row>
    <row r="219" spans="1:9" ht="15" thickTop="1" x14ac:dyDescent="0.3">
      <c r="A219" s="90"/>
      <c r="B219" s="90"/>
      <c r="C219" s="119" t="s">
        <v>456</v>
      </c>
      <c r="D219" s="39" t="s">
        <v>89</v>
      </c>
      <c r="E219" s="21" t="s">
        <v>88</v>
      </c>
      <c r="F219" s="134" t="s">
        <v>465</v>
      </c>
      <c r="G219" s="39" t="s">
        <v>89</v>
      </c>
      <c r="H219" s="21" t="s">
        <v>88</v>
      </c>
      <c r="I219" s="134" t="s">
        <v>465</v>
      </c>
    </row>
    <row r="220" spans="1:9" x14ac:dyDescent="0.3">
      <c r="A220" s="90"/>
      <c r="B220" s="90"/>
      <c r="C220" s="146" t="s">
        <v>75</v>
      </c>
      <c r="D220" s="88">
        <f>D162</f>
        <v>1</v>
      </c>
      <c r="E220" s="88">
        <f>F162</f>
        <v>1</v>
      </c>
      <c r="F220" s="88">
        <f>H162</f>
        <v>1</v>
      </c>
      <c r="G220" s="141">
        <f>D220/$D$174</f>
        <v>0.16666666666666666</v>
      </c>
      <c r="H220" s="141">
        <f>E220/$D$174</f>
        <v>0.16666666666666666</v>
      </c>
      <c r="I220" s="141">
        <f>F220/$D$174</f>
        <v>0.16666666666666666</v>
      </c>
    </row>
    <row r="221" spans="1:9" x14ac:dyDescent="0.3">
      <c r="A221" s="90"/>
      <c r="B221" s="90"/>
      <c r="C221" s="142" t="s">
        <v>74</v>
      </c>
      <c r="D221" s="88">
        <f>D163</f>
        <v>2</v>
      </c>
      <c r="E221" s="88">
        <f>F163</f>
        <v>1</v>
      </c>
      <c r="F221" s="88">
        <f>H163</f>
        <v>1.6944444444444444</v>
      </c>
      <c r="G221" s="141">
        <f t="shared" ref="G221:G224" si="36">D221/$D$174</f>
        <v>0.33333333333333331</v>
      </c>
      <c r="H221" s="141">
        <f t="shared" ref="H221:H224" si="37">E221/$D$174</f>
        <v>0.16666666666666666</v>
      </c>
      <c r="I221" s="141">
        <f t="shared" ref="I221:I224" si="38">F221/$D$174</f>
        <v>0.28240740740740738</v>
      </c>
    </row>
    <row r="222" spans="1:9" x14ac:dyDescent="0.3">
      <c r="A222" s="90"/>
      <c r="B222" s="90"/>
      <c r="C222" s="143" t="s">
        <v>471</v>
      </c>
      <c r="D222" s="88">
        <f>D164+D165</f>
        <v>3</v>
      </c>
      <c r="E222" s="88">
        <f>F164+F165</f>
        <v>2</v>
      </c>
      <c r="F222" s="88">
        <f>H164+H165</f>
        <v>2.6944444444444446</v>
      </c>
      <c r="G222" s="141">
        <f t="shared" si="36"/>
        <v>0.5</v>
      </c>
      <c r="H222" s="141">
        <f t="shared" si="37"/>
        <v>0.33333333333333331</v>
      </c>
      <c r="I222" s="141">
        <f t="shared" si="38"/>
        <v>0.44907407407407413</v>
      </c>
    </row>
    <row r="223" spans="1:9" x14ac:dyDescent="0.3">
      <c r="A223" s="90"/>
      <c r="B223" s="90"/>
      <c r="C223" s="144" t="s">
        <v>417</v>
      </c>
      <c r="D223" s="88">
        <f>D168+D169+D170+D172+D171</f>
        <v>0</v>
      </c>
      <c r="E223" s="88">
        <f>F168+F169+F170+F172+F171</f>
        <v>1</v>
      </c>
      <c r="F223" s="88">
        <f>H168+H169+H170+H172+H171</f>
        <v>0.30555555555555558</v>
      </c>
      <c r="G223" s="141">
        <f t="shared" si="36"/>
        <v>0</v>
      </c>
      <c r="H223" s="141">
        <f t="shared" si="37"/>
        <v>0.16666666666666666</v>
      </c>
      <c r="I223" s="141">
        <f t="shared" si="38"/>
        <v>5.092592592592593E-2</v>
      </c>
    </row>
    <row r="224" spans="1:9" x14ac:dyDescent="0.3">
      <c r="A224" s="90"/>
      <c r="B224" s="90"/>
      <c r="C224" s="145" t="s">
        <v>78</v>
      </c>
      <c r="D224" s="88">
        <f>D166+D167+D173</f>
        <v>0</v>
      </c>
      <c r="E224" s="88">
        <f>F166+F167+F173</f>
        <v>1</v>
      </c>
      <c r="F224" s="88">
        <f>H166+H167+H173</f>
        <v>0.30555555555555558</v>
      </c>
      <c r="G224" s="141">
        <f t="shared" si="36"/>
        <v>0</v>
      </c>
      <c r="H224" s="141">
        <f t="shared" si="37"/>
        <v>0.16666666666666666</v>
      </c>
      <c r="I224" s="141">
        <f t="shared" si="38"/>
        <v>5.092592592592593E-2</v>
      </c>
    </row>
    <row r="225" spans="1:5" x14ac:dyDescent="0.3">
      <c r="A225" s="90"/>
      <c r="B225" s="90"/>
      <c r="D225" s="65"/>
      <c r="E225" s="128"/>
    </row>
    <row r="226" spans="1:5" x14ac:dyDescent="0.3">
      <c r="A226" s="90"/>
      <c r="B226" s="90"/>
    </row>
    <row r="227" spans="1:5" x14ac:dyDescent="0.3">
      <c r="A227" s="90"/>
      <c r="B227" s="90"/>
    </row>
    <row r="228" spans="1:5" x14ac:dyDescent="0.3">
      <c r="A228" s="90"/>
      <c r="B228" s="90"/>
    </row>
    <row r="229" spans="1:5" x14ac:dyDescent="0.3">
      <c r="A229" s="90"/>
      <c r="B229" s="90"/>
    </row>
    <row r="230" spans="1:5" x14ac:dyDescent="0.3">
      <c r="A230" s="90"/>
      <c r="B230" s="90"/>
    </row>
    <row r="231" spans="1:5" x14ac:dyDescent="0.3">
      <c r="A231" s="90"/>
      <c r="B231" s="90"/>
    </row>
    <row r="232" spans="1:5" x14ac:dyDescent="0.3">
      <c r="A232" s="90"/>
      <c r="B232" s="90"/>
    </row>
    <row r="233" spans="1:5" x14ac:dyDescent="0.3">
      <c r="A233" s="90"/>
      <c r="B233" s="90"/>
    </row>
    <row r="234" spans="1:5" x14ac:dyDescent="0.3">
      <c r="A234" s="90"/>
      <c r="B234" s="90"/>
    </row>
    <row r="235" spans="1:5" x14ac:dyDescent="0.3">
      <c r="A235" s="90"/>
      <c r="B235" s="90"/>
    </row>
    <row r="236" spans="1:5" x14ac:dyDescent="0.3">
      <c r="A236" s="90"/>
      <c r="B236" s="90"/>
    </row>
    <row r="237" spans="1:5" x14ac:dyDescent="0.3">
      <c r="A237" s="90"/>
      <c r="B237" s="90"/>
    </row>
    <row r="238" spans="1:5" x14ac:dyDescent="0.3">
      <c r="A238" s="90"/>
      <c r="B238" s="90"/>
    </row>
    <row r="239" spans="1:5" x14ac:dyDescent="0.3">
      <c r="A239" s="90"/>
      <c r="B239" s="90"/>
    </row>
    <row r="240" spans="1:5" ht="18" customHeight="1" x14ac:dyDescent="0.3">
      <c r="A240" s="90"/>
      <c r="B240" s="90"/>
    </row>
    <row r="241" spans="1:10" ht="18" customHeight="1" x14ac:dyDescent="0.3">
      <c r="A241" s="90"/>
      <c r="B241" s="90"/>
    </row>
    <row r="242" spans="1:10" ht="18" customHeight="1" x14ac:dyDescent="0.3">
      <c r="A242" s="90"/>
      <c r="B242" s="90"/>
    </row>
    <row r="243" spans="1:10" ht="38.1" customHeight="1" x14ac:dyDescent="0.3">
      <c r="A243" s="90"/>
      <c r="B243" s="90"/>
      <c r="C243" s="147" t="s">
        <v>1418</v>
      </c>
      <c r="D243" s="148"/>
      <c r="E243" s="637" t="s">
        <v>1419</v>
      </c>
      <c r="F243" s="637"/>
      <c r="G243" s="148"/>
      <c r="H243" s="637" t="s">
        <v>1420</v>
      </c>
      <c r="I243" s="637"/>
      <c r="J243" s="75"/>
    </row>
    <row r="244" spans="1:10" ht="18" customHeight="1" x14ac:dyDescent="0.3">
      <c r="A244" s="90"/>
      <c r="B244" s="90"/>
      <c r="C244" s="149"/>
      <c r="D244" s="149"/>
      <c r="E244" s="149"/>
      <c r="F244" s="149"/>
      <c r="G244" s="149"/>
      <c r="H244" s="149"/>
    </row>
    <row r="245" spans="1:10" ht="15.6" customHeight="1" x14ac:dyDescent="0.3">
      <c r="A245" s="90"/>
      <c r="B245" s="90"/>
    </row>
    <row r="246" spans="1:10" ht="15.6" customHeight="1" x14ac:dyDescent="0.3">
      <c r="A246" s="90"/>
      <c r="B246" s="90"/>
    </row>
    <row r="247" spans="1:10" ht="15.6" customHeight="1" x14ac:dyDescent="0.3">
      <c r="A247" s="90"/>
      <c r="B247" s="90"/>
    </row>
    <row r="248" spans="1:10" ht="15.6" customHeight="1" x14ac:dyDescent="0.3">
      <c r="A248" s="90"/>
      <c r="B248" s="90"/>
    </row>
    <row r="249" spans="1:10" ht="15.6" customHeight="1" x14ac:dyDescent="0.3">
      <c r="A249" s="90"/>
      <c r="B249" s="90"/>
    </row>
    <row r="250" spans="1:10" ht="15.6" customHeight="1" x14ac:dyDescent="0.3">
      <c r="A250" s="90"/>
      <c r="B250" s="90"/>
    </row>
    <row r="251" spans="1:10" ht="15.6" customHeight="1" x14ac:dyDescent="0.3">
      <c r="A251" s="90"/>
      <c r="B251" s="90"/>
    </row>
    <row r="252" spans="1:10" ht="15.6" customHeight="1" x14ac:dyDescent="0.3">
      <c r="A252" s="90"/>
      <c r="B252" s="90"/>
    </row>
    <row r="253" spans="1:10" ht="15.6" customHeight="1" x14ac:dyDescent="0.3">
      <c r="A253" s="90"/>
      <c r="B253" s="90"/>
    </row>
    <row r="254" spans="1:10" ht="15.6" customHeight="1" x14ac:dyDescent="0.3">
      <c r="A254" s="90"/>
      <c r="B254" s="90"/>
    </row>
    <row r="255" spans="1:10" ht="15.6" customHeight="1" x14ac:dyDescent="0.3">
      <c r="A255" s="90"/>
      <c r="B255" s="90"/>
    </row>
    <row r="256" spans="1:10" ht="15.6" customHeight="1" x14ac:dyDescent="0.3">
      <c r="A256" s="90"/>
      <c r="B256" s="90"/>
    </row>
    <row r="257" spans="1:8" ht="19.2" customHeight="1" x14ac:dyDescent="0.3">
      <c r="A257" s="90"/>
      <c r="B257" s="90"/>
    </row>
    <row r="258" spans="1:8" ht="19.2" customHeight="1" thickBot="1" x14ac:dyDescent="0.35">
      <c r="A258" s="90"/>
      <c r="B258" s="90"/>
      <c r="D258" s="74"/>
      <c r="E258" s="74"/>
    </row>
    <row r="259" spans="1:8" ht="19.2" customHeight="1" thickTop="1" x14ac:dyDescent="0.35">
      <c r="A259" s="90"/>
      <c r="B259" s="90"/>
      <c r="C259" s="119" t="s">
        <v>566</v>
      </c>
      <c r="D259" s="120"/>
      <c r="E259" s="120"/>
      <c r="F259" s="121"/>
    </row>
    <row r="260" spans="1:8" ht="19.2" customHeight="1" x14ac:dyDescent="0.3">
      <c r="A260" s="90"/>
      <c r="B260" s="90"/>
    </row>
    <row r="261" spans="1:8" ht="19.2" customHeight="1" x14ac:dyDescent="0.3">
      <c r="A261" s="90"/>
      <c r="B261" s="90"/>
      <c r="C261" s="8" t="s">
        <v>1421</v>
      </c>
      <c r="F261" s="152" t="s">
        <v>1422</v>
      </c>
    </row>
    <row r="262" spans="1:8" ht="15.6" x14ac:dyDescent="0.35">
      <c r="A262" s="90"/>
      <c r="B262" s="90"/>
      <c r="D262" s="126" t="s">
        <v>460</v>
      </c>
      <c r="E262" s="126" t="s">
        <v>474</v>
      </c>
      <c r="F262" s="31"/>
      <c r="G262" s="125" t="s">
        <v>472</v>
      </c>
      <c r="H262" s="125" t="s">
        <v>475</v>
      </c>
    </row>
    <row r="263" spans="1:8" x14ac:dyDescent="0.3">
      <c r="A263" s="90"/>
      <c r="B263" s="90"/>
      <c r="C263" s="132" t="s">
        <v>75</v>
      </c>
      <c r="D263" s="88">
        <f>E191</f>
        <v>2970</v>
      </c>
      <c r="E263" s="151">
        <f>D263/$D$268</f>
        <v>7.0422535211267607E-3</v>
      </c>
      <c r="F263" s="132" t="s">
        <v>75</v>
      </c>
      <c r="G263" s="88">
        <f>G191</f>
        <v>0</v>
      </c>
      <c r="H263" s="151">
        <f>G263/$G$268</f>
        <v>0</v>
      </c>
    </row>
    <row r="264" spans="1:8" x14ac:dyDescent="0.3">
      <c r="A264" s="90"/>
      <c r="B264" s="90"/>
      <c r="C264" s="133" t="s">
        <v>74</v>
      </c>
      <c r="D264" s="34">
        <f>E192</f>
        <v>86212.5</v>
      </c>
      <c r="E264" s="151">
        <f t="shared" ref="E264:E268" si="39">D264/$D$268</f>
        <v>0.2044209702660407</v>
      </c>
      <c r="F264" s="133" t="s">
        <v>74</v>
      </c>
      <c r="G264" s="34">
        <f>G192</f>
        <v>0</v>
      </c>
      <c r="H264" s="151">
        <f t="shared" ref="H264:H268" si="40">G264/$G$268</f>
        <v>0</v>
      </c>
    </row>
    <row r="265" spans="1:8" x14ac:dyDescent="0.3">
      <c r="A265" s="90"/>
      <c r="B265" s="90"/>
      <c r="C265" s="133" t="s">
        <v>464</v>
      </c>
      <c r="D265" s="34">
        <f>E193+E194</f>
        <v>308055</v>
      </c>
      <c r="E265" s="151">
        <f t="shared" si="39"/>
        <v>0.73043818466353683</v>
      </c>
      <c r="F265" s="133" t="s">
        <v>464</v>
      </c>
      <c r="G265" s="34">
        <f>G193+G194</f>
        <v>15945.105</v>
      </c>
      <c r="H265" s="151">
        <f t="shared" si="40"/>
        <v>0.84756659094696418</v>
      </c>
    </row>
    <row r="266" spans="1:8" x14ac:dyDescent="0.3">
      <c r="A266" s="90"/>
      <c r="B266" s="90"/>
      <c r="C266" s="133" t="s">
        <v>417</v>
      </c>
      <c r="D266" s="34">
        <f>E197+E198+E199+E201+E200</f>
        <v>12705</v>
      </c>
      <c r="E266" s="151">
        <f t="shared" si="39"/>
        <v>3.0125195618153366E-2</v>
      </c>
      <c r="F266" s="133" t="s">
        <v>417</v>
      </c>
      <c r="G266" s="34">
        <f>G197+G198+G199+G201+G200</f>
        <v>2159.85</v>
      </c>
      <c r="H266" s="151">
        <f t="shared" si="40"/>
        <v>0.11480744099564101</v>
      </c>
    </row>
    <row r="267" spans="1:8" x14ac:dyDescent="0.3">
      <c r="A267" s="90"/>
      <c r="B267" s="90"/>
      <c r="C267" s="133" t="s">
        <v>78</v>
      </c>
      <c r="D267" s="34">
        <f>E195+E196+E202</f>
        <v>11797.5</v>
      </c>
      <c r="E267" s="151">
        <f t="shared" si="39"/>
        <v>2.7973395931142411E-2</v>
      </c>
      <c r="F267" s="133" t="s">
        <v>78</v>
      </c>
      <c r="G267" s="34">
        <f>G195+G196+G202</f>
        <v>707.85</v>
      </c>
      <c r="H267" s="151">
        <f t="shared" si="40"/>
        <v>3.762596805739496E-2</v>
      </c>
    </row>
    <row r="268" spans="1:8" x14ac:dyDescent="0.3">
      <c r="A268" s="90"/>
      <c r="B268" s="90"/>
      <c r="C268" s="153" t="s">
        <v>473</v>
      </c>
      <c r="D268" s="150">
        <f>SUM(D263:D267)</f>
        <v>421740</v>
      </c>
      <c r="E268" s="151">
        <f t="shared" si="39"/>
        <v>1</v>
      </c>
      <c r="F268" s="153" t="s">
        <v>473</v>
      </c>
      <c r="G268" s="150">
        <f>SUM(G263:G267)</f>
        <v>18812.804999999997</v>
      </c>
      <c r="H268" s="151">
        <f t="shared" si="40"/>
        <v>1</v>
      </c>
    </row>
    <row r="269" spans="1:8" x14ac:dyDescent="0.3">
      <c r="A269" s="90"/>
      <c r="B269" s="90"/>
    </row>
    <row r="270" spans="1:8" x14ac:dyDescent="0.3">
      <c r="A270" s="90"/>
      <c r="B270" s="90"/>
    </row>
    <row r="271" spans="1:8" x14ac:dyDescent="0.3">
      <c r="A271" s="90"/>
      <c r="B271" s="90"/>
    </row>
    <row r="272" spans="1:8" x14ac:dyDescent="0.3">
      <c r="A272" s="90"/>
      <c r="B272" s="90"/>
    </row>
    <row r="273" spans="1:7" x14ac:dyDescent="0.3">
      <c r="A273" s="90"/>
      <c r="B273" s="90"/>
    </row>
    <row r="274" spans="1:7" x14ac:dyDescent="0.3">
      <c r="A274" s="90"/>
      <c r="B274" s="90"/>
    </row>
    <row r="275" spans="1:7" x14ac:dyDescent="0.3">
      <c r="A275" s="90"/>
      <c r="B275" s="90"/>
    </row>
    <row r="276" spans="1:7" x14ac:dyDescent="0.3">
      <c r="A276" s="90"/>
      <c r="B276" s="90"/>
    </row>
    <row r="277" spans="1:7" x14ac:dyDescent="0.3">
      <c r="A277" s="90"/>
      <c r="B277" s="90"/>
    </row>
    <row r="278" spans="1:7" x14ac:dyDescent="0.3">
      <c r="A278" s="90"/>
      <c r="B278" s="90"/>
    </row>
    <row r="279" spans="1:7" x14ac:dyDescent="0.3">
      <c r="A279" s="90"/>
      <c r="B279" s="90"/>
    </row>
    <row r="280" spans="1:7" x14ac:dyDescent="0.3">
      <c r="A280" s="90"/>
      <c r="B280" s="90"/>
    </row>
    <row r="281" spans="1:7" x14ac:dyDescent="0.3">
      <c r="A281" s="90"/>
      <c r="B281" s="90"/>
    </row>
    <row r="282" spans="1:7" x14ac:dyDescent="0.3">
      <c r="A282" s="90"/>
      <c r="B282" s="90"/>
    </row>
    <row r="283" spans="1:7" x14ac:dyDescent="0.3">
      <c r="A283" s="90"/>
      <c r="B283" s="90"/>
    </row>
    <row r="284" spans="1:7" x14ac:dyDescent="0.3">
      <c r="A284" s="90"/>
      <c r="B284" s="90"/>
    </row>
    <row r="285" spans="1:7" x14ac:dyDescent="0.3">
      <c r="A285" s="90"/>
      <c r="B285" s="90"/>
    </row>
    <row r="286" spans="1:7" x14ac:dyDescent="0.3">
      <c r="A286" s="90"/>
      <c r="B286" s="90"/>
      <c r="D286" s="636" t="s">
        <v>580</v>
      </c>
      <c r="E286" s="636"/>
      <c r="G286" s="211" t="s">
        <v>565</v>
      </c>
    </row>
    <row r="287" spans="1:7" x14ac:dyDescent="0.3">
      <c r="A287" s="90"/>
      <c r="B287" s="90"/>
    </row>
    <row r="288" spans="1:7" x14ac:dyDescent="0.3">
      <c r="A288" s="90"/>
      <c r="B288" s="90"/>
    </row>
    <row r="289" spans="1:9" x14ac:dyDescent="0.3"/>
    <row r="290" spans="1:9" x14ac:dyDescent="0.3"/>
    <row r="291" spans="1:9" x14ac:dyDescent="0.3"/>
    <row r="292" spans="1:9" ht="20.399999999999999" thickBot="1" x14ac:dyDescent="0.45">
      <c r="C292" s="478" t="s">
        <v>1032</v>
      </c>
      <c r="D292" s="478"/>
      <c r="E292" s="478"/>
      <c r="F292" s="478"/>
      <c r="G292" s="478"/>
    </row>
    <row r="293" spans="1:9" ht="15" thickTop="1" x14ac:dyDescent="0.3"/>
    <row r="294" spans="1:9" x14ac:dyDescent="0.3">
      <c r="C294" s="623" t="s">
        <v>1193</v>
      </c>
      <c r="D294" s="624"/>
      <c r="E294" s="624"/>
      <c r="F294" s="624"/>
      <c r="G294" s="624"/>
      <c r="H294" s="625"/>
    </row>
    <row r="295" spans="1:9" x14ac:dyDescent="0.3">
      <c r="C295" s="626"/>
      <c r="D295" s="627"/>
      <c r="E295" s="627"/>
      <c r="F295" s="627"/>
      <c r="G295" s="627"/>
      <c r="H295" s="628"/>
    </row>
    <row r="296" spans="1:9" x14ac:dyDescent="0.3"/>
    <row r="297" spans="1:9" ht="18" thickBot="1" x14ac:dyDescent="0.4">
      <c r="A297" s="89" t="s">
        <v>397</v>
      </c>
      <c r="C297" s="497" t="s">
        <v>1423</v>
      </c>
      <c r="D297" s="496"/>
    </row>
    <row r="298" spans="1:9" ht="15.6" thickTop="1" thickBot="1" x14ac:dyDescent="0.35">
      <c r="A298" s="89"/>
    </row>
    <row r="299" spans="1:9" ht="15" thickBot="1" x14ac:dyDescent="0.35">
      <c r="A299" s="89"/>
      <c r="C299" s="8" t="s">
        <v>1061</v>
      </c>
      <c r="E299" s="479" t="s">
        <v>1188</v>
      </c>
    </row>
    <row r="300" spans="1:9" x14ac:dyDescent="0.3">
      <c r="A300" s="89"/>
      <c r="H300" s="124" t="s">
        <v>92</v>
      </c>
      <c r="I300" s="125" t="s">
        <v>93</v>
      </c>
    </row>
    <row r="301" spans="1:9" ht="57.6" x14ac:dyDescent="0.3">
      <c r="A301" s="89"/>
      <c r="C301" s="486" t="s">
        <v>421</v>
      </c>
      <c r="D301" s="486" t="s">
        <v>536</v>
      </c>
      <c r="E301" s="486" t="s">
        <v>1249</v>
      </c>
      <c r="F301" s="486" t="s">
        <v>1189</v>
      </c>
      <c r="G301" s="485" t="s">
        <v>1190</v>
      </c>
      <c r="H301" s="140" t="s">
        <v>467</v>
      </c>
      <c r="I301" s="299" t="s">
        <v>468</v>
      </c>
    </row>
    <row r="302" spans="1:9" x14ac:dyDescent="0.3">
      <c r="A302" s="89"/>
      <c r="C302" s="123" t="s">
        <v>75</v>
      </c>
      <c r="D302" s="389">
        <v>0.2</v>
      </c>
      <c r="E302" s="327">
        <f t="shared" ref="E302:E308" si="41">ROUND((AnzahlSchueler)*D302,0)</f>
        <v>200</v>
      </c>
      <c r="F302" s="291">
        <v>1</v>
      </c>
      <c r="G302" s="487">
        <f>E302*F302*2</f>
        <v>400</v>
      </c>
      <c r="H302" s="327">
        <v>0</v>
      </c>
      <c r="I302" s="111">
        <f>G302*H302/1000</f>
        <v>0</v>
      </c>
    </row>
    <row r="303" spans="1:9" x14ac:dyDescent="0.3">
      <c r="A303" s="89"/>
      <c r="C303" s="123" t="s">
        <v>74</v>
      </c>
      <c r="D303" s="389">
        <v>0.4</v>
      </c>
      <c r="E303" s="327">
        <f t="shared" si="41"/>
        <v>400</v>
      </c>
      <c r="F303" s="291">
        <v>3</v>
      </c>
      <c r="G303" s="487">
        <f t="shared" ref="G303:G309" si="42">E303*F303*2</f>
        <v>2400</v>
      </c>
      <c r="H303" s="327">
        <v>0</v>
      </c>
      <c r="I303" s="111">
        <f t="shared" ref="I303:I309" si="43">G303*H303/1000</f>
        <v>0</v>
      </c>
    </row>
    <row r="304" spans="1:9" x14ac:dyDescent="0.3">
      <c r="A304" s="89"/>
      <c r="C304" s="123" t="s">
        <v>76</v>
      </c>
      <c r="D304" s="389">
        <v>0.2</v>
      </c>
      <c r="E304" s="327">
        <f t="shared" si="41"/>
        <v>200</v>
      </c>
      <c r="F304" s="291">
        <v>5</v>
      </c>
      <c r="G304" s="487">
        <f t="shared" si="42"/>
        <v>2000</v>
      </c>
      <c r="H304" s="327">
        <f>(EmissionsfaktorSchulbus+EmissionsfaktorÖPNV)/2</f>
        <v>43</v>
      </c>
      <c r="I304" s="111">
        <f t="shared" si="43"/>
        <v>86</v>
      </c>
    </row>
    <row r="305" spans="1:9" x14ac:dyDescent="0.3">
      <c r="A305" s="89"/>
      <c r="C305" s="123" t="s">
        <v>79</v>
      </c>
      <c r="D305" s="389">
        <v>0.05</v>
      </c>
      <c r="E305" s="327">
        <f t="shared" si="41"/>
        <v>50</v>
      </c>
      <c r="F305" s="291">
        <v>2</v>
      </c>
      <c r="G305" s="487">
        <f t="shared" si="42"/>
        <v>200</v>
      </c>
      <c r="H305" s="327">
        <f>EmissionsfaktorEBike</f>
        <v>4</v>
      </c>
      <c r="I305" s="111">
        <f t="shared" si="43"/>
        <v>0.8</v>
      </c>
    </row>
    <row r="306" spans="1:9" x14ac:dyDescent="0.3">
      <c r="A306" s="89"/>
      <c r="C306" s="123" t="s">
        <v>77</v>
      </c>
      <c r="D306" s="389"/>
      <c r="E306" s="327">
        <f t="shared" si="41"/>
        <v>0</v>
      </c>
      <c r="F306" s="291"/>
      <c r="G306" s="487">
        <f t="shared" si="42"/>
        <v>0</v>
      </c>
      <c r="H306" s="327">
        <f>EmissionsfaktorMoped</f>
        <v>60</v>
      </c>
      <c r="I306" s="111">
        <f t="shared" si="43"/>
        <v>0</v>
      </c>
    </row>
    <row r="307" spans="1:9" x14ac:dyDescent="0.3">
      <c r="A307" s="89"/>
      <c r="C307" s="123" t="s">
        <v>417</v>
      </c>
      <c r="D307" s="389">
        <v>0.15</v>
      </c>
      <c r="E307" s="327">
        <f t="shared" si="41"/>
        <v>150</v>
      </c>
      <c r="F307" s="291">
        <v>15</v>
      </c>
      <c r="G307" s="487">
        <f t="shared" si="42"/>
        <v>4500</v>
      </c>
      <c r="H307" s="327">
        <f>EmissionsfaktorAutoMittelklasse</f>
        <v>170</v>
      </c>
      <c r="I307" s="111">
        <f t="shared" si="43"/>
        <v>765</v>
      </c>
    </row>
    <row r="308" spans="1:9" x14ac:dyDescent="0.3">
      <c r="A308" s="89"/>
      <c r="C308" s="123" t="s">
        <v>589</v>
      </c>
      <c r="D308" s="389"/>
      <c r="E308" s="327">
        <f t="shared" si="41"/>
        <v>0</v>
      </c>
      <c r="F308" s="291"/>
      <c r="G308" s="487">
        <f t="shared" si="42"/>
        <v>0</v>
      </c>
      <c r="H308" s="327">
        <f>EmissionsfaktorEAuto</f>
        <v>79</v>
      </c>
      <c r="I308" s="111">
        <f t="shared" si="43"/>
        <v>0</v>
      </c>
    </row>
    <row r="309" spans="1:9" ht="15" thickBot="1" x14ac:dyDescent="0.35">
      <c r="A309" s="89"/>
      <c r="C309" s="123" t="s">
        <v>78</v>
      </c>
      <c r="D309" s="438">
        <f>100%-SUM(D302:D308)</f>
        <v>0</v>
      </c>
      <c r="E309" s="327">
        <f>AnzahlSchueler-SUM(E302:E308)</f>
        <v>-1</v>
      </c>
      <c r="F309" s="31"/>
      <c r="G309" s="487">
        <f t="shared" si="42"/>
        <v>0</v>
      </c>
      <c r="H309" s="31"/>
      <c r="I309" s="111">
        <f t="shared" si="43"/>
        <v>0</v>
      </c>
    </row>
    <row r="310" spans="1:9" ht="15" thickTop="1" x14ac:dyDescent="0.3">
      <c r="A310" s="89"/>
      <c r="E310" s="499">
        <f>SUM(E302:E309)</f>
        <v>999</v>
      </c>
      <c r="G310" s="498"/>
      <c r="H310" s="86" t="s">
        <v>1191</v>
      </c>
      <c r="I310" s="138">
        <f>SUM(I302:I309)</f>
        <v>851.8</v>
      </c>
    </row>
    <row r="311" spans="1:9" ht="15" thickBot="1" x14ac:dyDescent="0.35">
      <c r="A311" s="89"/>
      <c r="C311" s="495" t="str">
        <f>IF(OR(SUM(D302:D308)&lt;0.95,SUM(D302:D308)&gt;1),"Achtung: Prozentuale Verteilung überprüfen!","")</f>
        <v/>
      </c>
      <c r="H311" s="15" t="s">
        <v>457</v>
      </c>
      <c r="I311" s="78" t="str">
        <f>"* "&amp;AnzahlSchultage&amp; " Tage"</f>
        <v>* 180 Tage</v>
      </c>
    </row>
    <row r="312" spans="1:9" ht="15" thickTop="1" x14ac:dyDescent="0.3">
      <c r="A312" s="89"/>
      <c r="H312" s="86" t="s">
        <v>1192</v>
      </c>
      <c r="I312" s="138">
        <f>I310*180</f>
        <v>153324</v>
      </c>
    </row>
    <row r="313" spans="1:9" x14ac:dyDescent="0.3">
      <c r="A313" s="89"/>
      <c r="C313" s="457" t="str">
        <f>IF(AND($E$299="detaillierter Rechner",$I$312&lt;&gt;0),"Es wurde die detaillierte Berechnungsmethode gewählt. Die hier abgeschätzten CO₂-Emissionen werden daher nicht für die CO₂-Bilanz verwendet","")</f>
        <v>Es wurde die detaillierte Berechnungsmethode gewählt. Die hier abgeschätzten CO₂-Emissionen werden daher nicht für die CO₂-Bilanz verwendet</v>
      </c>
    </row>
    <row r="314" spans="1:9" x14ac:dyDescent="0.3">
      <c r="C314" s="384"/>
    </row>
    <row r="315" spans="1:9" ht="18" thickBot="1" x14ac:dyDescent="0.4">
      <c r="A315" s="90" t="s">
        <v>397</v>
      </c>
      <c r="C315" s="497" t="s">
        <v>1424</v>
      </c>
      <c r="D315" s="496"/>
    </row>
    <row r="316" spans="1:9" ht="15.6" thickTop="1" thickBot="1" x14ac:dyDescent="0.35">
      <c r="A316" s="90"/>
    </row>
    <row r="317" spans="1:9" ht="15" thickBot="1" x14ac:dyDescent="0.35">
      <c r="A317" s="90"/>
      <c r="C317" s="8" t="s">
        <v>1061</v>
      </c>
      <c r="E317" s="479" t="s">
        <v>1188</v>
      </c>
    </row>
    <row r="318" spans="1:9" x14ac:dyDescent="0.3">
      <c r="A318" s="90"/>
      <c r="H318" s="124" t="s">
        <v>92</v>
      </c>
      <c r="I318" s="125" t="s">
        <v>93</v>
      </c>
    </row>
    <row r="319" spans="1:9" ht="57.6" x14ac:dyDescent="0.3">
      <c r="A319" s="90"/>
      <c r="C319" s="486" t="s">
        <v>421</v>
      </c>
      <c r="D319" s="486" t="s">
        <v>536</v>
      </c>
      <c r="E319" s="486" t="s">
        <v>1249</v>
      </c>
      <c r="F319" s="486" t="s">
        <v>1189</v>
      </c>
      <c r="G319" s="485" t="s">
        <v>1190</v>
      </c>
      <c r="H319" s="140" t="s">
        <v>467</v>
      </c>
      <c r="I319" s="299" t="s">
        <v>468</v>
      </c>
    </row>
    <row r="320" spans="1:9" x14ac:dyDescent="0.3">
      <c r="A320" s="90"/>
      <c r="C320" s="123" t="s">
        <v>75</v>
      </c>
      <c r="D320" s="389"/>
      <c r="E320" s="327">
        <f t="shared" ref="E320:E327" si="44">ROUND((AnzahlLehrer)*D320,0)</f>
        <v>0</v>
      </c>
      <c r="F320" s="291"/>
      <c r="G320" s="487">
        <f>E320*F320*2</f>
        <v>0</v>
      </c>
      <c r="H320" s="327">
        <v>0</v>
      </c>
      <c r="I320" s="111">
        <f>G320*H320/1000</f>
        <v>0</v>
      </c>
    </row>
    <row r="321" spans="1:9" x14ac:dyDescent="0.3">
      <c r="A321" s="90"/>
      <c r="C321" s="123" t="s">
        <v>74</v>
      </c>
      <c r="D321" s="389"/>
      <c r="E321" s="327">
        <f t="shared" si="44"/>
        <v>0</v>
      </c>
      <c r="F321" s="291"/>
      <c r="G321" s="487">
        <f t="shared" ref="G321:G327" si="45">E321*F321*2</f>
        <v>0</v>
      </c>
      <c r="H321" s="327">
        <v>0</v>
      </c>
      <c r="I321" s="111">
        <f t="shared" ref="I321:I327" si="46">G321*H321/1000</f>
        <v>0</v>
      </c>
    </row>
    <row r="322" spans="1:9" x14ac:dyDescent="0.3">
      <c r="A322" s="90"/>
      <c r="C322" s="123" t="s">
        <v>76</v>
      </c>
      <c r="D322" s="389"/>
      <c r="E322" s="327">
        <f t="shared" si="44"/>
        <v>0</v>
      </c>
      <c r="F322" s="291"/>
      <c r="G322" s="487">
        <f t="shared" si="45"/>
        <v>0</v>
      </c>
      <c r="H322" s="327">
        <f>(EmissionsfaktorSchulbus+EmissionsfaktorÖPNV)/2</f>
        <v>43</v>
      </c>
      <c r="I322" s="111">
        <f t="shared" si="46"/>
        <v>0</v>
      </c>
    </row>
    <row r="323" spans="1:9" x14ac:dyDescent="0.3">
      <c r="A323" s="90"/>
      <c r="C323" s="123" t="s">
        <v>79</v>
      </c>
      <c r="D323" s="389"/>
      <c r="E323" s="327">
        <f t="shared" si="44"/>
        <v>0</v>
      </c>
      <c r="F323" s="291"/>
      <c r="G323" s="487">
        <f t="shared" si="45"/>
        <v>0</v>
      </c>
      <c r="H323" s="327">
        <f>EmissionsfaktorEBike</f>
        <v>4</v>
      </c>
      <c r="I323" s="111">
        <f t="shared" si="46"/>
        <v>0</v>
      </c>
    </row>
    <row r="324" spans="1:9" x14ac:dyDescent="0.3">
      <c r="A324" s="90"/>
      <c r="C324" s="123" t="s">
        <v>77</v>
      </c>
      <c r="D324" s="389"/>
      <c r="E324" s="327">
        <f t="shared" si="44"/>
        <v>0</v>
      </c>
      <c r="F324" s="291"/>
      <c r="G324" s="487">
        <f t="shared" si="45"/>
        <v>0</v>
      </c>
      <c r="H324" s="327">
        <f>EmissionsfaktorMoped</f>
        <v>60</v>
      </c>
      <c r="I324" s="111">
        <f t="shared" si="46"/>
        <v>0</v>
      </c>
    </row>
    <row r="325" spans="1:9" x14ac:dyDescent="0.3">
      <c r="A325" s="90"/>
      <c r="C325" s="123" t="s">
        <v>417</v>
      </c>
      <c r="D325" s="389"/>
      <c r="E325" s="327">
        <f t="shared" si="44"/>
        <v>0</v>
      </c>
      <c r="F325" s="291"/>
      <c r="G325" s="487">
        <f t="shared" si="45"/>
        <v>0</v>
      </c>
      <c r="H325" s="327">
        <f>EmissionsfaktorAutoMittelklasse</f>
        <v>170</v>
      </c>
      <c r="I325" s="111">
        <f t="shared" si="46"/>
        <v>0</v>
      </c>
    </row>
    <row r="326" spans="1:9" x14ac:dyDescent="0.3">
      <c r="A326" s="90"/>
      <c r="C326" s="123" t="s">
        <v>589</v>
      </c>
      <c r="D326" s="389"/>
      <c r="E326" s="327">
        <f t="shared" si="44"/>
        <v>0</v>
      </c>
      <c r="F326" s="291"/>
      <c r="G326" s="487">
        <f t="shared" si="45"/>
        <v>0</v>
      </c>
      <c r="H326" s="327">
        <f>EmissionsfaktorEAuto</f>
        <v>79</v>
      </c>
      <c r="I326" s="111">
        <f t="shared" si="46"/>
        <v>0</v>
      </c>
    </row>
    <row r="327" spans="1:9" ht="15" thickBot="1" x14ac:dyDescent="0.35">
      <c r="A327" s="90"/>
      <c r="C327" s="123" t="s">
        <v>78</v>
      </c>
      <c r="D327" s="438">
        <f>100%-SUM(D320:D326)</f>
        <v>1</v>
      </c>
      <c r="E327" s="327">
        <f t="shared" si="44"/>
        <v>99</v>
      </c>
      <c r="F327" s="31"/>
      <c r="G327" s="487">
        <f t="shared" si="45"/>
        <v>0</v>
      </c>
      <c r="H327" s="31"/>
      <c r="I327" s="111">
        <f t="shared" si="46"/>
        <v>0</v>
      </c>
    </row>
    <row r="328" spans="1:9" ht="15" thickTop="1" x14ac:dyDescent="0.3">
      <c r="A328" s="90"/>
      <c r="E328" s="499">
        <f>SUM(E320:E327)</f>
        <v>99</v>
      </c>
      <c r="G328" s="498"/>
      <c r="H328" s="86" t="s">
        <v>1191</v>
      </c>
      <c r="I328" s="138">
        <f>SUM(I320:I327)</f>
        <v>0</v>
      </c>
    </row>
    <row r="329" spans="1:9" ht="15" thickBot="1" x14ac:dyDescent="0.35">
      <c r="A329" s="90"/>
      <c r="C329" s="495" t="str">
        <f>IF(OR(SUM(D320:D326)&lt;0.95,SUM(D320:D326)&gt;1),"Achtung: Prozentuale Verteilung überprüfen!","")</f>
        <v>Achtung: Prozentuale Verteilung überprüfen!</v>
      </c>
      <c r="H329" s="15" t="s">
        <v>457</v>
      </c>
      <c r="I329" s="78" t="str">
        <f>"* "&amp;AnzahlSchultage&amp; " Tage"</f>
        <v>* 180 Tage</v>
      </c>
    </row>
    <row r="330" spans="1:9" ht="15" thickTop="1" x14ac:dyDescent="0.3">
      <c r="A330" s="90"/>
      <c r="H330" s="86" t="s">
        <v>1192</v>
      </c>
      <c r="I330" s="138">
        <f>I328*180</f>
        <v>0</v>
      </c>
    </row>
    <row r="331" spans="1:9" x14ac:dyDescent="0.3">
      <c r="A331" s="90"/>
      <c r="C331" s="457" t="str">
        <f>IF(AND($E$317="detaillierter Rechner",$I$330&lt;&gt;0),"Es wurde die detaillierte Berechnungsmethode gewählt. Die hier abgeschätzten CO₂-Emissionen werden daher nicht für die CO₂-Bilanz verwendet","")</f>
        <v/>
      </c>
    </row>
    <row r="332" spans="1:9" x14ac:dyDescent="0.3">
      <c r="C332" s="384"/>
    </row>
    <row r="333" spans="1:9" x14ac:dyDescent="0.3">
      <c r="C333" s="384"/>
    </row>
    <row r="334" spans="1:9" x14ac:dyDescent="0.3">
      <c r="C334" s="384"/>
    </row>
    <row r="335" spans="1:9" x14ac:dyDescent="0.3">
      <c r="C335" s="384"/>
    </row>
    <row r="336" spans="1:9" x14ac:dyDescent="0.3">
      <c r="C336" s="384"/>
    </row>
    <row r="337" spans="3:3" x14ac:dyDescent="0.3">
      <c r="C337" s="384"/>
    </row>
    <row r="338" spans="3:3" x14ac:dyDescent="0.3">
      <c r="C338" s="384"/>
    </row>
    <row r="339" spans="3:3" x14ac:dyDescent="0.3">
      <c r="C339" s="384"/>
    </row>
    <row r="340" spans="3:3" x14ac:dyDescent="0.3"/>
  </sheetData>
  <sheetProtection algorithmName="SHA-512" hashValue="yz44aY20LtyR+yrPNAXrX+xp/3oItwIE/u3g/pQEQUe7dS9vnbjaTTMnPzQVkADAaj48vm7EX0b6qbH6eLoV3A==" saltValue="BqcAAswVjqyx/U/0p3sUeQ==" spinCount="100000" sheet="1" objects="1" scenarios="1"/>
  <mergeCells count="8">
    <mergeCell ref="C294:H295"/>
    <mergeCell ref="C7:I13"/>
    <mergeCell ref="D286:E286"/>
    <mergeCell ref="E116:F116"/>
    <mergeCell ref="H116:I116"/>
    <mergeCell ref="E243:F243"/>
    <mergeCell ref="H243:I243"/>
    <mergeCell ref="C26:I26"/>
  </mergeCells>
  <dataValidations count="5">
    <dataValidation type="list" allowBlank="1" showInputMessage="1" showErrorMessage="1" promptTitle="Berechnungsmethode" prompt="Beim detaillierten Rechner können die CO2-Emissionen der Schulwege über eine Umfrage ermittelt werden. _x000a_Die vereinfachte Abschätzung ist hauptsächlich dafür gedacht, wenn eine detaillierte Berechnung aus irgendwelchen Gründen nicht möglich ist._x000a_" sqref="E299 E317">
      <formula1>"detaillierter Rechner,vereinfachte Abschätzung"</formula1>
    </dataValidation>
    <dataValidation allowBlank="1" showInputMessage="1" showErrorMessage="1" promptTitle="Hinweis" prompt="Die Anzahl der Schülerinnen und Schüler kann im Tabellenblatt Allgemeines eingegeben werden." sqref="E52"/>
    <dataValidation allowBlank="1" showInputMessage="1" showErrorMessage="1" promptTitle="Hinweis" prompt="Die Teilnehmerquote ist der Anteil der Schülerinnen und Schüler an der Schülerschaft die an der Umfrage teilgenommen haben. Wenn beispielsweise nur jeder zweite Schüler an der Umfrage teilgenommen hat, dann liegt die Teilnahmequote bei 50%." sqref="E53"/>
    <dataValidation allowBlank="1" showInputMessage="1" showErrorMessage="1" promptTitle="Hinweis" prompt="Die Anzahl der Lehrerinnen und Lehrer kann im Tabellenblatt Allgemeines eingegeben werden._x000a_" sqref="E179"/>
    <dataValidation allowBlank="1" showInputMessage="1" showErrorMessage="1" promptTitle="Hinweis" prompt="Die Teilnehmerquote ist der Anteil der Lehrerinnen und Lehrerin der Lehrerschaft die an der Umfrage teilgenommen haben. Wenn beispielsweise nur jede zweite Person an der Umfrage teilgenommen hat, dann liegt die Teilnahmequote bei 50%" sqref="E180"/>
  </dataValidations>
  <hyperlinks>
    <hyperlink ref="A5" location="Inhalt!A1" display="&lt;= Start"/>
    <hyperlink ref="E19" location="Schulwege!C158" display="==&gt; zur Berechnung"/>
    <hyperlink ref="E20" location="Klassenfahrten!A1" display="==&gt; zur Berechnung"/>
    <hyperlink ref="E21" location="Schüleraustausch!A1" display="==&gt; zur Berechnung"/>
    <hyperlink ref="E18" location="Schulwege!C31" display="==&gt; zur Berechnung"/>
    <hyperlink ref="D286" location="Inhalt!A1" display="&lt;== zur Übersicht"/>
    <hyperlink ref="G286" location="Ergebnis!A1" display="zum Ergebnis ==&gt;"/>
    <hyperlink ref="D286:E286" location="Verkehr!A1" display="&lt;== zur Übersicht Verkehr"/>
  </hyperlinks>
  <pageMargins left="0.25" right="0.25" top="0.75" bottom="0.75" header="0.3" footer="0.3"/>
  <pageSetup paperSize="9" scale="65" fitToHeight="0" orientation="portrait"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Lookup!$E$36:$E$37</xm:f>
          </x14:formula1>
          <xm:sqref>A28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5989"/>
  </sheetPr>
  <dimension ref="A1:Y216"/>
  <sheetViews>
    <sheetView showGridLines="0" topLeftCell="A10" workbookViewId="0">
      <selection activeCell="F27" sqref="F27"/>
    </sheetView>
  </sheetViews>
  <sheetFormatPr baseColWidth="10" defaultColWidth="0" defaultRowHeight="14.4" x14ac:dyDescent="0.3"/>
  <cols>
    <col min="1" max="1" width="8.88671875" customWidth="1"/>
    <col min="2" max="2" width="30.44140625" customWidth="1"/>
    <col min="3" max="3" width="20.44140625" customWidth="1"/>
    <col min="4" max="4" width="12.88671875" customWidth="1"/>
    <col min="5" max="5" width="11.88671875" customWidth="1"/>
    <col min="6" max="6" width="16.6640625" customWidth="1"/>
    <col min="7" max="7" width="15.33203125" customWidth="1"/>
    <col min="8" max="8" width="11.88671875" customWidth="1"/>
    <col min="9" max="9" width="3.109375" customWidth="1"/>
    <col min="10" max="15" width="8.88671875" hidden="1" customWidth="1"/>
    <col min="16" max="16" width="22.33203125" hidden="1" customWidth="1"/>
    <col min="17" max="18" width="8.88671875" hidden="1" customWidth="1"/>
    <col min="19" max="19" width="18.33203125" hidden="1" customWidth="1"/>
    <col min="20" max="20" width="13.88671875" hidden="1" customWidth="1"/>
    <col min="21" max="24" width="8.88671875" hidden="1" customWidth="1"/>
    <col min="25" max="25" width="17.44140625" hidden="1" customWidth="1"/>
    <col min="26" max="16384" width="8.88671875" hidden="1"/>
  </cols>
  <sheetData>
    <row r="1" spans="1:16" ht="12" customHeight="1" x14ac:dyDescent="0.3">
      <c r="A1" s="1"/>
      <c r="B1" s="1"/>
      <c r="C1" s="1"/>
      <c r="D1" s="1"/>
      <c r="E1" s="1"/>
      <c r="F1" s="1"/>
      <c r="G1" s="1"/>
      <c r="H1" s="1"/>
      <c r="I1" s="1"/>
      <c r="J1" s="1"/>
      <c r="K1" s="1"/>
      <c r="L1" s="1"/>
      <c r="M1" s="1"/>
      <c r="N1" s="1"/>
      <c r="O1" s="1"/>
      <c r="P1" s="1"/>
    </row>
    <row r="2" spans="1:16" ht="12" customHeight="1" x14ac:dyDescent="0.3">
      <c r="A2" s="1"/>
      <c r="B2" s="1"/>
      <c r="C2" s="1"/>
      <c r="D2" s="1"/>
      <c r="E2" s="1"/>
      <c r="F2" s="1"/>
      <c r="G2" s="1"/>
      <c r="H2" s="1"/>
      <c r="I2" s="1"/>
      <c r="J2" s="1"/>
      <c r="K2" s="1"/>
      <c r="L2" s="1"/>
      <c r="M2" s="1"/>
      <c r="N2" s="1"/>
      <c r="O2" s="1"/>
      <c r="P2" s="1"/>
    </row>
    <row r="3" spans="1:16" ht="32.4" customHeight="1" x14ac:dyDescent="0.55000000000000004">
      <c r="A3" s="1"/>
      <c r="B3" s="1"/>
      <c r="C3" s="2" t="s">
        <v>1267</v>
      </c>
      <c r="D3" s="1"/>
      <c r="E3" s="2"/>
      <c r="F3" s="1"/>
      <c r="G3" s="1"/>
      <c r="H3" s="1"/>
      <c r="I3" s="1"/>
      <c r="J3" s="1"/>
      <c r="K3" s="2"/>
      <c r="L3" s="1"/>
      <c r="M3" s="1"/>
      <c r="N3" s="1"/>
      <c r="O3" s="1"/>
      <c r="P3" s="1"/>
    </row>
    <row r="4" spans="1:16" ht="18.45" customHeight="1" thickBot="1" x14ac:dyDescent="0.4">
      <c r="A4" s="29"/>
      <c r="B4" s="94"/>
      <c r="C4" s="347" t="str">
        <f>NameDerSchule</f>
        <v>Schule ABC</v>
      </c>
      <c r="D4" s="29"/>
      <c r="E4" s="94"/>
      <c r="F4" s="29"/>
      <c r="G4" s="29"/>
      <c r="H4" s="29"/>
      <c r="I4" s="29"/>
      <c r="J4" s="29"/>
      <c r="K4" s="29"/>
      <c r="L4" s="29"/>
      <c r="M4" s="29"/>
      <c r="N4" s="29"/>
      <c r="O4" s="29"/>
      <c r="P4" s="29"/>
    </row>
    <row r="5" spans="1:16" ht="13.95" customHeight="1" thickTop="1" x14ac:dyDescent="0.3">
      <c r="A5" s="26" t="s">
        <v>63</v>
      </c>
    </row>
    <row r="6" spans="1:16" ht="16.2" customHeight="1" x14ac:dyDescent="0.3"/>
    <row r="7" spans="1:16" ht="16.2" customHeight="1" x14ac:dyDescent="0.3">
      <c r="B7" s="639" t="s">
        <v>1376</v>
      </c>
      <c r="C7" s="640"/>
      <c r="D7" s="640"/>
      <c r="E7" s="640"/>
      <c r="F7" s="640"/>
      <c r="G7" s="640"/>
      <c r="H7" s="641"/>
      <c r="I7" s="353"/>
    </row>
    <row r="8" spans="1:16" ht="16.2" customHeight="1" x14ac:dyDescent="0.3">
      <c r="B8" s="642"/>
      <c r="C8" s="643"/>
      <c r="D8" s="643"/>
      <c r="E8" s="643"/>
      <c r="F8" s="643"/>
      <c r="G8" s="643"/>
      <c r="H8" s="644"/>
      <c r="I8" s="353"/>
    </row>
    <row r="9" spans="1:16" ht="21.6" customHeight="1" x14ac:dyDescent="0.3">
      <c r="B9" s="642"/>
      <c r="C9" s="643"/>
      <c r="D9" s="643"/>
      <c r="E9" s="643"/>
      <c r="F9" s="643"/>
      <c r="G9" s="643"/>
      <c r="H9" s="644"/>
      <c r="I9" s="353"/>
    </row>
    <row r="10" spans="1:16" ht="21.6" customHeight="1" x14ac:dyDescent="0.3">
      <c r="B10" s="642"/>
      <c r="C10" s="643"/>
      <c r="D10" s="643"/>
      <c r="E10" s="643"/>
      <c r="F10" s="643"/>
      <c r="G10" s="643"/>
      <c r="H10" s="644"/>
      <c r="I10" s="353"/>
    </row>
    <row r="11" spans="1:16" ht="21.6" customHeight="1" x14ac:dyDescent="0.3">
      <c r="B11" s="642"/>
      <c r="C11" s="643"/>
      <c r="D11" s="643"/>
      <c r="E11" s="643"/>
      <c r="F11" s="643"/>
      <c r="G11" s="643"/>
      <c r="H11" s="644"/>
      <c r="I11" s="353"/>
    </row>
    <row r="12" spans="1:16" ht="21.6" customHeight="1" x14ac:dyDescent="0.3">
      <c r="B12" s="645"/>
      <c r="C12" s="646"/>
      <c r="D12" s="646"/>
      <c r="E12" s="646"/>
      <c r="F12" s="646"/>
      <c r="G12" s="646"/>
      <c r="H12" s="647"/>
      <c r="I12" s="353"/>
    </row>
    <row r="13" spans="1:16" ht="16.2" customHeight="1" x14ac:dyDescent="0.3">
      <c r="B13" s="374" t="str">
        <f>IF(VerbrauchsanteilSchuleKlassenfahrten&lt;&gt;100%,"Hinweis: Die Emissionen der Klassenfahrten wurden nur anteilig ("&amp;TEXT(VerbrauchsanteilSchuleKlassenfahrten,"0 %")&amp;") in die CO2-Bilanz aufgenommen.","")</f>
        <v>Hinweis: Die Emissionen der Klassenfahrten wurden nur anteilig (50 %) in die CO2-Bilanz aufgenommen.</v>
      </c>
    </row>
    <row r="14" spans="1:16" ht="16.2" customHeight="1" x14ac:dyDescent="0.3">
      <c r="E14" s="596" t="s">
        <v>580</v>
      </c>
      <c r="F14" s="596"/>
      <c r="G14" s="211" t="s">
        <v>565</v>
      </c>
    </row>
    <row r="15" spans="1:16" ht="16.2" customHeight="1" x14ac:dyDescent="0.3"/>
    <row r="16" spans="1:16" ht="16.2" customHeight="1" thickBot="1" x14ac:dyDescent="0.4">
      <c r="B16" s="3" t="s">
        <v>419</v>
      </c>
      <c r="C16" s="3"/>
      <c r="D16" s="3"/>
      <c r="E16" s="3"/>
      <c r="F16" s="3"/>
      <c r="G16" s="95" t="s">
        <v>430</v>
      </c>
      <c r="H16" s="96">
        <f>SUM(H19:H68)</f>
        <v>25918.5</v>
      </c>
    </row>
    <row r="17" spans="2:12" ht="16.2" customHeight="1" thickTop="1" x14ac:dyDescent="0.3"/>
    <row r="18" spans="2:12" ht="46.95" customHeight="1" thickBot="1" x14ac:dyDescent="0.35">
      <c r="B18" s="91" t="s">
        <v>422</v>
      </c>
      <c r="C18" s="91" t="s">
        <v>421</v>
      </c>
      <c r="D18" s="91" t="s">
        <v>420</v>
      </c>
      <c r="E18" s="92" t="s">
        <v>1270</v>
      </c>
      <c r="F18" s="92" t="s">
        <v>426</v>
      </c>
      <c r="G18" s="92" t="s">
        <v>425</v>
      </c>
      <c r="H18" s="92" t="s">
        <v>423</v>
      </c>
    </row>
    <row r="19" spans="2:12" ht="15" thickBot="1" x14ac:dyDescent="0.35">
      <c r="B19" s="191" t="s">
        <v>1394</v>
      </c>
      <c r="C19" s="468" t="s">
        <v>514</v>
      </c>
      <c r="D19" s="193">
        <v>1600</v>
      </c>
      <c r="E19" s="192">
        <v>22</v>
      </c>
      <c r="F19" s="34">
        <f>VLOOKUP(C19,Lookup!$S$3:$U$11,2,FALSE)</f>
        <v>355</v>
      </c>
      <c r="G19" s="34">
        <f>IF(C19="bitte wählen","",ROUNDUP(E19/VLOOKUP(C19,Lookup!$S$3:$U$11,3,FALSE),0))</f>
        <v>22</v>
      </c>
      <c r="H19" s="34">
        <f t="shared" ref="H19:H50" si="0">IF(D19="",0,D19*2*G19*F19/1000)</f>
        <v>24992</v>
      </c>
      <c r="J19" s="74">
        <f t="shared" ref="J19:J25" si="1">H19</f>
        <v>24992</v>
      </c>
      <c r="L19" s="34">
        <f>COUNTIF($H$19:H19,"&gt;="&amp;H19)+COUNTIF(H20:$H$68,"&gt;"&amp;H19)</f>
        <v>1</v>
      </c>
    </row>
    <row r="20" spans="2:12" ht="15" thickBot="1" x14ac:dyDescent="0.35">
      <c r="B20" s="191" t="s">
        <v>1395</v>
      </c>
      <c r="C20" s="468" t="s">
        <v>416</v>
      </c>
      <c r="D20" s="193">
        <v>700</v>
      </c>
      <c r="E20" s="192">
        <v>40</v>
      </c>
      <c r="F20" s="34">
        <f>VLOOKUP(C20,Lookup!$S$3:$U$11,2,FALSE)</f>
        <v>650</v>
      </c>
      <c r="G20" s="34">
        <f>IF(C20="bitte wählen","",ROUNDUP(E20/VLOOKUP(C20,Lookup!$S$3:$U$11,3,FALSE),0))</f>
        <v>1</v>
      </c>
      <c r="H20" s="34">
        <f t="shared" si="0"/>
        <v>910</v>
      </c>
      <c r="J20" s="74">
        <f t="shared" si="1"/>
        <v>910</v>
      </c>
      <c r="L20" s="34">
        <f>COUNTIF($H$19:H20,"&gt;="&amp;H20)+COUNTIF(H21:$H$68,"&gt;"&amp;H20)</f>
        <v>2</v>
      </c>
    </row>
    <row r="21" spans="2:12" ht="15" thickBot="1" x14ac:dyDescent="0.35">
      <c r="B21" s="191" t="s">
        <v>1396</v>
      </c>
      <c r="C21" s="468" t="s">
        <v>429</v>
      </c>
      <c r="D21" s="193">
        <v>150</v>
      </c>
      <c r="E21" s="192">
        <v>1</v>
      </c>
      <c r="F21" s="34">
        <f>VLOOKUP(C21,Lookup!$S$3:$U$11,2,FALSE)</f>
        <v>55</v>
      </c>
      <c r="G21" s="34">
        <f>IF(C21="bitte wählen","",ROUNDUP(E21/VLOOKUP(C21,Lookup!$S$3:$U$11,3,FALSE),0))</f>
        <v>1</v>
      </c>
      <c r="H21" s="34">
        <f t="shared" si="0"/>
        <v>16.5</v>
      </c>
      <c r="J21" s="74">
        <f t="shared" si="1"/>
        <v>16.5</v>
      </c>
      <c r="L21" s="34">
        <f>COUNTIF($H$19:H21,"&gt;="&amp;H21)+COUNTIF(H22:$H$68,"&gt;"&amp;H21)</f>
        <v>3</v>
      </c>
    </row>
    <row r="22" spans="2:12" ht="15" thickBot="1" x14ac:dyDescent="0.35">
      <c r="B22" s="191"/>
      <c r="C22" s="468" t="s">
        <v>27</v>
      </c>
      <c r="D22" s="193"/>
      <c r="E22" s="192"/>
      <c r="F22" s="34">
        <f>VLOOKUP(C22,Lookup!$S$3:$U$11,2,FALSE)</f>
        <v>0</v>
      </c>
      <c r="G22" s="34" t="str">
        <f>IF(C22="bitte wählen","",ROUNDUP(E22/VLOOKUP(C22,Lookup!$S$3:$U$11,3,FALSE),0))</f>
        <v/>
      </c>
      <c r="H22" s="34">
        <f t="shared" si="0"/>
        <v>0</v>
      </c>
      <c r="J22" s="74">
        <f t="shared" si="1"/>
        <v>0</v>
      </c>
      <c r="L22" s="34">
        <f>COUNTIF($H$19:H22,"&gt;="&amp;H22)+COUNTIF(H23:$H$68,"&gt;"&amp;H22)</f>
        <v>4</v>
      </c>
    </row>
    <row r="23" spans="2:12" ht="15" thickBot="1" x14ac:dyDescent="0.35">
      <c r="B23" s="191"/>
      <c r="C23" s="468" t="s">
        <v>27</v>
      </c>
      <c r="D23" s="193"/>
      <c r="E23" s="192"/>
      <c r="F23" s="34">
        <f>VLOOKUP(C23,Lookup!$S$3:$U$11,2,FALSE)</f>
        <v>0</v>
      </c>
      <c r="G23" s="34" t="str">
        <f>IF(C23="bitte wählen","",ROUNDUP(E23/VLOOKUP(C23,Lookup!$S$3:$U$11,3,FALSE),0))</f>
        <v/>
      </c>
      <c r="H23" s="34">
        <f t="shared" si="0"/>
        <v>0</v>
      </c>
      <c r="I23" s="74"/>
      <c r="J23" s="74">
        <f t="shared" si="1"/>
        <v>0</v>
      </c>
      <c r="L23" s="34">
        <f>COUNTIF($H$19:H23,"&gt;="&amp;H23)+COUNTIF(H24:$H$68,"&gt;"&amp;H23)</f>
        <v>5</v>
      </c>
    </row>
    <row r="24" spans="2:12" ht="15" thickBot="1" x14ac:dyDescent="0.35">
      <c r="B24" s="191"/>
      <c r="C24" s="468" t="s">
        <v>27</v>
      </c>
      <c r="D24" s="193"/>
      <c r="E24" s="192"/>
      <c r="F24" s="34">
        <f>VLOOKUP(C24,Lookup!$S$3:$U$11,2,FALSE)</f>
        <v>0</v>
      </c>
      <c r="G24" s="34" t="str">
        <f>IF(C24="bitte wählen","",ROUNDUP(E24/VLOOKUP(C24,Lookup!$S$3:$U$11,3,FALSE),0))</f>
        <v/>
      </c>
      <c r="H24" s="34">
        <f t="shared" si="0"/>
        <v>0</v>
      </c>
      <c r="I24" s="74"/>
      <c r="J24" s="74">
        <f t="shared" si="1"/>
        <v>0</v>
      </c>
      <c r="L24" s="34">
        <f>COUNTIF($H$19:H24,"&gt;="&amp;H24)+COUNTIF(H25:$H$68,"&gt;"&amp;H24)</f>
        <v>6</v>
      </c>
    </row>
    <row r="25" spans="2:12" ht="15" thickBot="1" x14ac:dyDescent="0.35">
      <c r="B25" s="191"/>
      <c r="C25" s="468" t="s">
        <v>27</v>
      </c>
      <c r="D25" s="193"/>
      <c r="E25" s="192"/>
      <c r="F25" s="34">
        <f>VLOOKUP(C25,Lookup!$S$3:$U$11,2,FALSE)</f>
        <v>0</v>
      </c>
      <c r="G25" s="34" t="str">
        <f>IF(C25="bitte wählen","",ROUNDUP(E25/VLOOKUP(C25,Lookup!$S$3:$U$11,3,FALSE),0))</f>
        <v/>
      </c>
      <c r="H25" s="34">
        <f t="shared" si="0"/>
        <v>0</v>
      </c>
      <c r="I25" s="74"/>
      <c r="J25" s="74">
        <f t="shared" si="1"/>
        <v>0</v>
      </c>
      <c r="L25" s="34">
        <f>COUNTIF($H$19:H25,"&gt;="&amp;H25)+COUNTIF(H26:$H$68,"&gt;"&amp;H25)</f>
        <v>7</v>
      </c>
    </row>
    <row r="26" spans="2:12" ht="15" thickBot="1" x14ac:dyDescent="0.35">
      <c r="B26" s="191"/>
      <c r="C26" s="468" t="s">
        <v>27</v>
      </c>
      <c r="D26" s="193"/>
      <c r="E26" s="192"/>
      <c r="F26" s="34">
        <f>VLOOKUP(C26,Lookup!$S$3:$U$11,2,FALSE)</f>
        <v>0</v>
      </c>
      <c r="G26" s="34" t="str">
        <f>IF(C26="bitte wählen","",ROUNDUP(E26/VLOOKUP(C26,Lookup!$S$3:$U$11,3,FALSE),0))</f>
        <v/>
      </c>
      <c r="H26" s="34">
        <f t="shared" si="0"/>
        <v>0</v>
      </c>
      <c r="I26" s="74"/>
      <c r="J26" s="74">
        <f t="shared" ref="J26:J68" si="2">H26</f>
        <v>0</v>
      </c>
      <c r="L26" s="34">
        <f>COUNTIF($H$19:H26,"&gt;="&amp;H26)+COUNTIF(H27:$H$68,"&gt;"&amp;H26)</f>
        <v>8</v>
      </c>
    </row>
    <row r="27" spans="2:12" ht="15" thickBot="1" x14ac:dyDescent="0.35">
      <c r="B27" s="191"/>
      <c r="C27" s="468" t="s">
        <v>27</v>
      </c>
      <c r="D27" s="193"/>
      <c r="E27" s="192"/>
      <c r="F27" s="34">
        <f>VLOOKUP(C27,Lookup!$S$3:$U$11,2,FALSE)</f>
        <v>0</v>
      </c>
      <c r="G27" s="34" t="str">
        <f>IF(C27="bitte wählen","",ROUNDUP(E27/VLOOKUP(C27,Lookup!$S$3:$U$11,3,FALSE),0))</f>
        <v/>
      </c>
      <c r="H27" s="34">
        <f t="shared" si="0"/>
        <v>0</v>
      </c>
      <c r="I27" s="74"/>
      <c r="J27" s="74">
        <f t="shared" si="2"/>
        <v>0</v>
      </c>
      <c r="L27" s="34">
        <f>COUNTIF($H$19:H27,"&gt;="&amp;H27)+COUNTIF(H28:$H$68,"&gt;"&amp;H27)</f>
        <v>9</v>
      </c>
    </row>
    <row r="28" spans="2:12" ht="15" thickBot="1" x14ac:dyDescent="0.35">
      <c r="B28" s="191"/>
      <c r="C28" s="468" t="s">
        <v>27</v>
      </c>
      <c r="D28" s="193"/>
      <c r="E28" s="192"/>
      <c r="F28" s="34">
        <f>VLOOKUP(C28,Lookup!$S$3:$U$11,2,FALSE)</f>
        <v>0</v>
      </c>
      <c r="G28" s="34" t="str">
        <f>IF(C28="bitte wählen","",ROUNDUP(E28/VLOOKUP(C28,Lookup!$S$3:$U$11,3,FALSE),0))</f>
        <v/>
      </c>
      <c r="H28" s="34">
        <f t="shared" si="0"/>
        <v>0</v>
      </c>
      <c r="I28" s="74"/>
      <c r="J28" s="74">
        <f t="shared" si="2"/>
        <v>0</v>
      </c>
      <c r="L28" s="34">
        <f>COUNTIF($H$19:H28,"&gt;="&amp;H28)+COUNTIF(H29:$H$68,"&gt;"&amp;H28)</f>
        <v>10</v>
      </c>
    </row>
    <row r="29" spans="2:12" ht="15" thickBot="1" x14ac:dyDescent="0.35">
      <c r="B29" s="191"/>
      <c r="C29" s="468" t="s">
        <v>27</v>
      </c>
      <c r="D29" s="193"/>
      <c r="E29" s="192"/>
      <c r="F29" s="34">
        <f>VLOOKUP(C29,Lookup!$S$3:$U$11,2,FALSE)</f>
        <v>0</v>
      </c>
      <c r="G29" s="34" t="str">
        <f>IF(C29="bitte wählen","",ROUNDUP(E29/VLOOKUP(C29,Lookup!$S$3:$U$11,3,FALSE),0))</f>
        <v/>
      </c>
      <c r="H29" s="34">
        <f t="shared" si="0"/>
        <v>0</v>
      </c>
      <c r="I29" s="74"/>
      <c r="J29" s="74">
        <f t="shared" si="2"/>
        <v>0</v>
      </c>
      <c r="L29" s="34">
        <f>COUNTIF($H$19:H29,"&gt;="&amp;H29)+COUNTIF(H30:$H$68,"&gt;"&amp;H29)</f>
        <v>11</v>
      </c>
    </row>
    <row r="30" spans="2:12" ht="15" thickBot="1" x14ac:dyDescent="0.35">
      <c r="B30" s="191"/>
      <c r="C30" s="468" t="s">
        <v>27</v>
      </c>
      <c r="D30" s="193"/>
      <c r="E30" s="192"/>
      <c r="F30" s="34">
        <f>VLOOKUP(C30,Lookup!$S$3:$U$11,2,FALSE)</f>
        <v>0</v>
      </c>
      <c r="G30" s="34" t="str">
        <f>IF(C30="bitte wählen","",ROUNDUP(E30/VLOOKUP(C30,Lookup!$S$3:$U$11,3,FALSE),0))</f>
        <v/>
      </c>
      <c r="H30" s="34">
        <f t="shared" si="0"/>
        <v>0</v>
      </c>
      <c r="I30" s="74"/>
      <c r="J30" s="74">
        <f t="shared" si="2"/>
        <v>0</v>
      </c>
      <c r="L30" s="34">
        <f>COUNTIF($H$19:H30,"&gt;="&amp;H30)+COUNTIF(H31:$H$68,"&gt;"&amp;H30)</f>
        <v>12</v>
      </c>
    </row>
    <row r="31" spans="2:12" ht="15" thickBot="1" x14ac:dyDescent="0.35">
      <c r="B31" s="191"/>
      <c r="C31" s="468" t="s">
        <v>27</v>
      </c>
      <c r="D31" s="193"/>
      <c r="E31" s="192"/>
      <c r="F31" s="34">
        <f>VLOOKUP(C31,Lookup!$S$3:$U$11,2,FALSE)</f>
        <v>0</v>
      </c>
      <c r="G31" s="34" t="str">
        <f>IF(C31="bitte wählen","",ROUNDUP(E31/VLOOKUP(C31,Lookup!$S$3:$U$11,3,FALSE),0))</f>
        <v/>
      </c>
      <c r="H31" s="34">
        <f t="shared" si="0"/>
        <v>0</v>
      </c>
      <c r="I31" s="74"/>
      <c r="J31" s="74">
        <f t="shared" si="2"/>
        <v>0</v>
      </c>
      <c r="L31" s="34">
        <f>COUNTIF($H$19:H31,"&gt;="&amp;H31)+COUNTIF(H32:$H$68,"&gt;"&amp;H31)</f>
        <v>13</v>
      </c>
    </row>
    <row r="32" spans="2:12" ht="15" thickBot="1" x14ac:dyDescent="0.35">
      <c r="B32" s="191"/>
      <c r="C32" s="468" t="s">
        <v>27</v>
      </c>
      <c r="D32" s="193"/>
      <c r="E32" s="192"/>
      <c r="F32" s="34">
        <f>VLOOKUP(C32,Lookup!$S$3:$U$11,2,FALSE)</f>
        <v>0</v>
      </c>
      <c r="G32" s="34" t="str">
        <f>IF(C32="bitte wählen","",ROUNDUP(E32/VLOOKUP(C32,Lookup!$S$3:$U$11,3,FALSE),0))</f>
        <v/>
      </c>
      <c r="H32" s="34">
        <f t="shared" si="0"/>
        <v>0</v>
      </c>
      <c r="I32" s="74"/>
      <c r="J32" s="74">
        <f t="shared" si="2"/>
        <v>0</v>
      </c>
      <c r="L32" s="34">
        <f>COUNTIF($H$19:H32,"&gt;="&amp;H32)+COUNTIF(H33:$H$68,"&gt;"&amp;H32)</f>
        <v>14</v>
      </c>
    </row>
    <row r="33" spans="2:12" ht="15" thickBot="1" x14ac:dyDescent="0.35">
      <c r="B33" s="191"/>
      <c r="C33" s="468" t="s">
        <v>27</v>
      </c>
      <c r="D33" s="193"/>
      <c r="E33" s="192"/>
      <c r="F33" s="34">
        <f>VLOOKUP(C33,Lookup!$S$3:$U$11,2,FALSE)</f>
        <v>0</v>
      </c>
      <c r="G33" s="34" t="str">
        <f>IF(C33="bitte wählen","",ROUNDUP(E33/VLOOKUP(C33,Lookup!$S$3:$U$11,3,FALSE),0))</f>
        <v/>
      </c>
      <c r="H33" s="34">
        <f t="shared" si="0"/>
        <v>0</v>
      </c>
      <c r="I33" s="74"/>
      <c r="J33" s="74">
        <f t="shared" si="2"/>
        <v>0</v>
      </c>
      <c r="L33" s="34">
        <f>COUNTIF($H$19:H33,"&gt;="&amp;H33)+COUNTIF(H34:$H$68,"&gt;"&amp;H33)</f>
        <v>15</v>
      </c>
    </row>
    <row r="34" spans="2:12" ht="15" thickBot="1" x14ac:dyDescent="0.35">
      <c r="B34" s="191"/>
      <c r="C34" s="468" t="s">
        <v>27</v>
      </c>
      <c r="D34" s="193"/>
      <c r="E34" s="192"/>
      <c r="F34" s="34">
        <f>VLOOKUP(C34,Lookup!$S$3:$U$11,2,FALSE)</f>
        <v>0</v>
      </c>
      <c r="G34" s="34" t="str">
        <f>IF(C34="bitte wählen","",ROUNDUP(E34/VLOOKUP(C34,Lookup!$S$3:$U$11,3,FALSE),0))</f>
        <v/>
      </c>
      <c r="H34" s="34">
        <f t="shared" si="0"/>
        <v>0</v>
      </c>
      <c r="I34" s="74"/>
      <c r="J34" s="74">
        <f t="shared" si="2"/>
        <v>0</v>
      </c>
      <c r="L34" s="34">
        <f>COUNTIF($H$19:H34,"&gt;="&amp;H34)+COUNTIF(H35:$H$68,"&gt;"&amp;H34)</f>
        <v>16</v>
      </c>
    </row>
    <row r="35" spans="2:12" ht="15" thickBot="1" x14ac:dyDescent="0.35">
      <c r="B35" s="191"/>
      <c r="C35" s="468" t="s">
        <v>27</v>
      </c>
      <c r="D35" s="193"/>
      <c r="E35" s="192"/>
      <c r="F35" s="34">
        <f>VLOOKUP(C35,Lookup!$S$3:$U$11,2,FALSE)</f>
        <v>0</v>
      </c>
      <c r="G35" s="34" t="str">
        <f>IF(C35="bitte wählen","",ROUNDUP(E35/VLOOKUP(C35,Lookup!$S$3:$U$11,3,FALSE),0))</f>
        <v/>
      </c>
      <c r="H35" s="34">
        <f t="shared" si="0"/>
        <v>0</v>
      </c>
      <c r="I35" s="74"/>
      <c r="J35" s="74">
        <f t="shared" si="2"/>
        <v>0</v>
      </c>
      <c r="L35" s="34">
        <f>COUNTIF($H$19:H35,"&gt;="&amp;H35)+COUNTIF(H36:$H$68,"&gt;"&amp;H35)</f>
        <v>17</v>
      </c>
    </row>
    <row r="36" spans="2:12" ht="15" thickBot="1" x14ac:dyDescent="0.35">
      <c r="B36" s="191"/>
      <c r="C36" s="468" t="s">
        <v>27</v>
      </c>
      <c r="D36" s="193"/>
      <c r="E36" s="192"/>
      <c r="F36" s="34">
        <f>VLOOKUP(C36,Lookup!$S$3:$U$11,2,FALSE)</f>
        <v>0</v>
      </c>
      <c r="G36" s="34" t="str">
        <f>IF(C36="bitte wählen","",ROUNDUP(E36/VLOOKUP(C36,Lookup!$S$3:$U$11,3,FALSE),0))</f>
        <v/>
      </c>
      <c r="H36" s="34">
        <f t="shared" si="0"/>
        <v>0</v>
      </c>
      <c r="I36" s="74"/>
      <c r="J36" s="74">
        <f t="shared" si="2"/>
        <v>0</v>
      </c>
      <c r="L36" s="34">
        <f>COUNTIF($H$19:H36,"&gt;="&amp;H36)+COUNTIF(H37:$H$68,"&gt;"&amp;H36)</f>
        <v>18</v>
      </c>
    </row>
    <row r="37" spans="2:12" ht="15" thickBot="1" x14ac:dyDescent="0.35">
      <c r="B37" s="191"/>
      <c r="C37" s="468" t="s">
        <v>27</v>
      </c>
      <c r="D37" s="193"/>
      <c r="E37" s="192"/>
      <c r="F37" s="34">
        <f>VLOOKUP(C37,Lookup!$S$3:$U$11,2,FALSE)</f>
        <v>0</v>
      </c>
      <c r="G37" s="34" t="str">
        <f>IF(C37="bitte wählen","",ROUNDUP(E37/VLOOKUP(C37,Lookup!$S$3:$U$11,3,FALSE),0))</f>
        <v/>
      </c>
      <c r="H37" s="34">
        <f t="shared" si="0"/>
        <v>0</v>
      </c>
      <c r="I37" s="74"/>
      <c r="J37" s="74">
        <f t="shared" si="2"/>
        <v>0</v>
      </c>
      <c r="L37" s="34">
        <f>COUNTIF($H$19:H37,"&gt;="&amp;H37)+COUNTIF(H38:$H$68,"&gt;"&amp;H37)</f>
        <v>19</v>
      </c>
    </row>
    <row r="38" spans="2:12" ht="15" thickBot="1" x14ac:dyDescent="0.35">
      <c r="B38" s="191"/>
      <c r="C38" s="468" t="s">
        <v>27</v>
      </c>
      <c r="D38" s="193"/>
      <c r="E38" s="192"/>
      <c r="F38" s="34">
        <f>VLOOKUP(C38,Lookup!$S$3:$U$11,2,FALSE)</f>
        <v>0</v>
      </c>
      <c r="G38" s="34" t="str">
        <f>IF(C38="bitte wählen","",ROUNDUP(E38/VLOOKUP(C38,Lookup!$S$3:$U$11,3,FALSE),0))</f>
        <v/>
      </c>
      <c r="H38" s="34">
        <f t="shared" si="0"/>
        <v>0</v>
      </c>
      <c r="I38" s="74"/>
      <c r="J38" s="74">
        <f t="shared" si="2"/>
        <v>0</v>
      </c>
      <c r="L38" s="34">
        <f>COUNTIF($H$19:H38,"&gt;="&amp;H38)+COUNTIF(H39:$H$68,"&gt;"&amp;H38)</f>
        <v>20</v>
      </c>
    </row>
    <row r="39" spans="2:12" ht="15" thickBot="1" x14ac:dyDescent="0.35">
      <c r="B39" s="191"/>
      <c r="C39" s="468" t="s">
        <v>27</v>
      </c>
      <c r="D39" s="193"/>
      <c r="E39" s="192"/>
      <c r="F39" s="34">
        <f>VLOOKUP(C39,Lookup!$S$3:$U$11,2,FALSE)</f>
        <v>0</v>
      </c>
      <c r="G39" s="34" t="str">
        <f>IF(C39="bitte wählen","",ROUNDUP(E39/VLOOKUP(C39,Lookup!$S$3:$U$11,3,FALSE),0))</f>
        <v/>
      </c>
      <c r="H39" s="34">
        <f t="shared" si="0"/>
        <v>0</v>
      </c>
      <c r="I39" s="74"/>
      <c r="J39" s="74">
        <f t="shared" si="2"/>
        <v>0</v>
      </c>
      <c r="L39" s="34">
        <f>COUNTIF($H$19:H39,"&gt;="&amp;H39)+COUNTIF(H40:$H$68,"&gt;"&amp;H39)</f>
        <v>21</v>
      </c>
    </row>
    <row r="40" spans="2:12" ht="15" thickBot="1" x14ac:dyDescent="0.35">
      <c r="B40" s="191"/>
      <c r="C40" s="468" t="s">
        <v>27</v>
      </c>
      <c r="D40" s="193"/>
      <c r="E40" s="192"/>
      <c r="F40" s="34">
        <f>VLOOKUP(C40,Lookup!$S$3:$U$11,2,FALSE)</f>
        <v>0</v>
      </c>
      <c r="G40" s="34" t="str">
        <f>IF(C40="bitte wählen","",ROUNDUP(E40/VLOOKUP(C40,Lookup!$S$3:$U$11,3,FALSE),0))</f>
        <v/>
      </c>
      <c r="H40" s="34">
        <f t="shared" si="0"/>
        <v>0</v>
      </c>
      <c r="I40" s="74"/>
      <c r="J40" s="74">
        <f t="shared" si="2"/>
        <v>0</v>
      </c>
      <c r="L40" s="34">
        <f>COUNTIF($H$19:H40,"&gt;="&amp;H40)+COUNTIF(H41:$H$68,"&gt;"&amp;H40)</f>
        <v>22</v>
      </c>
    </row>
    <row r="41" spans="2:12" ht="15" thickBot="1" x14ac:dyDescent="0.35">
      <c r="B41" s="191"/>
      <c r="C41" s="468" t="s">
        <v>27</v>
      </c>
      <c r="D41" s="193"/>
      <c r="E41" s="192"/>
      <c r="F41" s="34">
        <f>VLOOKUP(C41,Lookup!$S$3:$U$11,2,FALSE)</f>
        <v>0</v>
      </c>
      <c r="G41" s="34" t="str">
        <f>IF(C41="bitte wählen","",ROUNDUP(E41/VLOOKUP(C41,Lookup!$S$3:$U$11,3,FALSE),0))</f>
        <v/>
      </c>
      <c r="H41" s="34">
        <f t="shared" si="0"/>
        <v>0</v>
      </c>
      <c r="I41" s="74"/>
      <c r="J41" s="74">
        <f t="shared" si="2"/>
        <v>0</v>
      </c>
      <c r="L41" s="34">
        <f>COUNTIF($H$19:H41,"&gt;="&amp;H41)+COUNTIF(H42:$H$68,"&gt;"&amp;H41)</f>
        <v>23</v>
      </c>
    </row>
    <row r="42" spans="2:12" ht="15" thickBot="1" x14ac:dyDescent="0.35">
      <c r="B42" s="191"/>
      <c r="C42" s="468" t="s">
        <v>27</v>
      </c>
      <c r="D42" s="193"/>
      <c r="E42" s="192"/>
      <c r="F42" s="34">
        <f>VLOOKUP(C42,Lookup!$S$3:$U$11,2,FALSE)</f>
        <v>0</v>
      </c>
      <c r="G42" s="34" t="str">
        <f>IF(C42="bitte wählen","",ROUNDUP(E42/VLOOKUP(C42,Lookup!$S$3:$U$11,3,FALSE),0))</f>
        <v/>
      </c>
      <c r="H42" s="34">
        <f t="shared" si="0"/>
        <v>0</v>
      </c>
      <c r="I42" s="74"/>
      <c r="J42" s="74">
        <f t="shared" si="2"/>
        <v>0</v>
      </c>
      <c r="L42" s="34">
        <f>COUNTIF($H$19:H42,"&gt;="&amp;H42)+COUNTIF(H43:$H$68,"&gt;"&amp;H42)</f>
        <v>24</v>
      </c>
    </row>
    <row r="43" spans="2:12" ht="15" thickBot="1" x14ac:dyDescent="0.35">
      <c r="B43" s="191"/>
      <c r="C43" s="468" t="s">
        <v>27</v>
      </c>
      <c r="D43" s="193"/>
      <c r="E43" s="192"/>
      <c r="F43" s="34">
        <f>VLOOKUP(C43,Lookup!$S$3:$U$11,2,FALSE)</f>
        <v>0</v>
      </c>
      <c r="G43" s="34" t="str">
        <f>IF(C43="bitte wählen","",ROUNDUP(E43/VLOOKUP(C43,Lookup!$S$3:$U$11,3,FALSE),0))</f>
        <v/>
      </c>
      <c r="H43" s="34">
        <f t="shared" si="0"/>
        <v>0</v>
      </c>
      <c r="I43" s="74"/>
      <c r="J43" s="74">
        <f t="shared" si="2"/>
        <v>0</v>
      </c>
      <c r="L43" s="34">
        <f>COUNTIF($H$19:H43,"&gt;="&amp;H43)+COUNTIF(H44:$H$68,"&gt;"&amp;H43)</f>
        <v>25</v>
      </c>
    </row>
    <row r="44" spans="2:12" ht="15" thickBot="1" x14ac:dyDescent="0.35">
      <c r="B44" s="191"/>
      <c r="C44" s="468" t="s">
        <v>27</v>
      </c>
      <c r="D44" s="193"/>
      <c r="E44" s="192"/>
      <c r="F44" s="34">
        <f>VLOOKUP(C44,Lookup!$S$3:$U$11,2,FALSE)</f>
        <v>0</v>
      </c>
      <c r="G44" s="34" t="str">
        <f>IF(C44="bitte wählen","",ROUNDUP(E44/VLOOKUP(C44,Lookup!$S$3:$U$11,3,FALSE),0))</f>
        <v/>
      </c>
      <c r="H44" s="34">
        <f t="shared" si="0"/>
        <v>0</v>
      </c>
      <c r="I44" s="74"/>
      <c r="J44" s="74">
        <f t="shared" si="2"/>
        <v>0</v>
      </c>
      <c r="L44" s="34">
        <f>COUNTIF($H$19:H44,"&gt;="&amp;H44)+COUNTIF(H45:$H$68,"&gt;"&amp;H44)</f>
        <v>26</v>
      </c>
    </row>
    <row r="45" spans="2:12" ht="15" thickBot="1" x14ac:dyDescent="0.35">
      <c r="B45" s="191"/>
      <c r="C45" s="468" t="s">
        <v>27</v>
      </c>
      <c r="D45" s="193"/>
      <c r="E45" s="192"/>
      <c r="F45" s="34">
        <f>VLOOKUP(C45,Lookup!$S$3:$U$11,2,FALSE)</f>
        <v>0</v>
      </c>
      <c r="G45" s="34" t="str">
        <f>IF(C45="bitte wählen","",ROUNDUP(E45/VLOOKUP(C45,Lookup!$S$3:$U$11,3,FALSE),0))</f>
        <v/>
      </c>
      <c r="H45" s="34">
        <f t="shared" si="0"/>
        <v>0</v>
      </c>
      <c r="I45" s="74"/>
      <c r="J45" s="74">
        <f t="shared" si="2"/>
        <v>0</v>
      </c>
      <c r="L45" s="34">
        <f>COUNTIF($H$19:H45,"&gt;="&amp;H45)+COUNTIF(H46:$H$68,"&gt;"&amp;H45)</f>
        <v>27</v>
      </c>
    </row>
    <row r="46" spans="2:12" ht="15" thickBot="1" x14ac:dyDescent="0.35">
      <c r="B46" s="191"/>
      <c r="C46" s="468" t="s">
        <v>27</v>
      </c>
      <c r="D46" s="193"/>
      <c r="E46" s="192"/>
      <c r="F46" s="34">
        <f>VLOOKUP(C46,Lookup!$S$3:$U$11,2,FALSE)</f>
        <v>0</v>
      </c>
      <c r="G46" s="34" t="str">
        <f>IF(C46="bitte wählen","",ROUNDUP(E46/VLOOKUP(C46,Lookup!$S$3:$U$11,3,FALSE),0))</f>
        <v/>
      </c>
      <c r="H46" s="34">
        <f t="shared" si="0"/>
        <v>0</v>
      </c>
      <c r="I46" s="74"/>
      <c r="J46" s="74">
        <f t="shared" si="2"/>
        <v>0</v>
      </c>
      <c r="L46" s="34">
        <f>COUNTIF($H$19:H46,"&gt;="&amp;H46)+COUNTIF(H47:$H$68,"&gt;"&amp;H46)</f>
        <v>28</v>
      </c>
    </row>
    <row r="47" spans="2:12" ht="15" thickBot="1" x14ac:dyDescent="0.35">
      <c r="B47" s="191"/>
      <c r="C47" s="468" t="s">
        <v>27</v>
      </c>
      <c r="D47" s="193"/>
      <c r="E47" s="192"/>
      <c r="F47" s="34">
        <f>VLOOKUP(C47,Lookup!$S$3:$U$11,2,FALSE)</f>
        <v>0</v>
      </c>
      <c r="G47" s="34" t="str">
        <f>IF(C47="bitte wählen","",ROUNDUP(E47/VLOOKUP(C47,Lookup!$S$3:$U$11,3,FALSE),0))</f>
        <v/>
      </c>
      <c r="H47" s="34">
        <f t="shared" si="0"/>
        <v>0</v>
      </c>
      <c r="I47" s="74"/>
      <c r="J47" s="74">
        <f t="shared" si="2"/>
        <v>0</v>
      </c>
      <c r="L47" s="34">
        <f>COUNTIF($H$19:H47,"&gt;="&amp;H47)+COUNTIF(H48:$H$68,"&gt;"&amp;H47)</f>
        <v>29</v>
      </c>
    </row>
    <row r="48" spans="2:12" ht="15" thickBot="1" x14ac:dyDescent="0.35">
      <c r="B48" s="191"/>
      <c r="C48" s="468" t="s">
        <v>27</v>
      </c>
      <c r="D48" s="193"/>
      <c r="E48" s="192"/>
      <c r="F48" s="34">
        <f>VLOOKUP(C48,Lookup!$S$3:$U$11,2,FALSE)</f>
        <v>0</v>
      </c>
      <c r="G48" s="34" t="str">
        <f>IF(C48="bitte wählen","",ROUNDUP(E48/VLOOKUP(C48,Lookup!$S$3:$U$11,3,FALSE),0))</f>
        <v/>
      </c>
      <c r="H48" s="34">
        <f t="shared" si="0"/>
        <v>0</v>
      </c>
      <c r="I48" s="74"/>
      <c r="J48" s="74">
        <f t="shared" si="2"/>
        <v>0</v>
      </c>
      <c r="L48" s="34">
        <f>COUNTIF($H$19:H48,"&gt;="&amp;H48)+COUNTIF(H49:$H$68,"&gt;"&amp;H48)</f>
        <v>30</v>
      </c>
    </row>
    <row r="49" spans="2:12" ht="15" thickBot="1" x14ac:dyDescent="0.35">
      <c r="B49" s="191"/>
      <c r="C49" s="468" t="s">
        <v>27</v>
      </c>
      <c r="D49" s="193"/>
      <c r="E49" s="192"/>
      <c r="F49" s="34">
        <f>VLOOKUP(C49,Lookup!$S$3:$U$11,2,FALSE)</f>
        <v>0</v>
      </c>
      <c r="G49" s="34" t="str">
        <f>IF(C49="bitte wählen","",ROUNDUP(E49/VLOOKUP(C49,Lookup!$S$3:$U$11,3,FALSE),0))</f>
        <v/>
      </c>
      <c r="H49" s="34">
        <f t="shared" si="0"/>
        <v>0</v>
      </c>
      <c r="I49" s="74"/>
      <c r="J49" s="74">
        <f t="shared" si="2"/>
        <v>0</v>
      </c>
      <c r="L49" s="34">
        <f>COUNTIF($H$19:H49,"&gt;="&amp;H49)+COUNTIF(H50:$H$68,"&gt;"&amp;H49)</f>
        <v>31</v>
      </c>
    </row>
    <row r="50" spans="2:12" ht="15" thickBot="1" x14ac:dyDescent="0.35">
      <c r="B50" s="191"/>
      <c r="C50" s="468" t="s">
        <v>27</v>
      </c>
      <c r="D50" s="193"/>
      <c r="E50" s="192"/>
      <c r="F50" s="34">
        <f>VLOOKUP(C50,Lookup!$S$3:$U$11,2,FALSE)</f>
        <v>0</v>
      </c>
      <c r="G50" s="34" t="str">
        <f>IF(C50="bitte wählen","",ROUNDUP(E50/VLOOKUP(C50,Lookup!$S$3:$U$11,3,FALSE),0))</f>
        <v/>
      </c>
      <c r="H50" s="34">
        <f t="shared" si="0"/>
        <v>0</v>
      </c>
      <c r="I50" s="74"/>
      <c r="J50" s="74">
        <f t="shared" si="2"/>
        <v>0</v>
      </c>
      <c r="L50" s="34">
        <f>COUNTIF($H$19:H50,"&gt;="&amp;H50)+COUNTIF(H51:$H$68,"&gt;"&amp;H50)</f>
        <v>32</v>
      </c>
    </row>
    <row r="51" spans="2:12" ht="15" thickBot="1" x14ac:dyDescent="0.35">
      <c r="B51" s="191"/>
      <c r="C51" s="468" t="s">
        <v>27</v>
      </c>
      <c r="D51" s="193"/>
      <c r="E51" s="192"/>
      <c r="F51" s="34">
        <f>VLOOKUP(C51,Lookup!$S$3:$U$11,2,FALSE)</f>
        <v>0</v>
      </c>
      <c r="G51" s="34" t="str">
        <f>IF(C51="bitte wählen","",ROUNDUP(E51/VLOOKUP(C51,Lookup!$S$3:$U$11,3,FALSE),0))</f>
        <v/>
      </c>
      <c r="H51" s="34">
        <f t="shared" ref="H51:H68" si="3">IF(D51="",0,D51*2*G51*F51/1000)</f>
        <v>0</v>
      </c>
      <c r="I51" s="74"/>
      <c r="J51" s="74">
        <f t="shared" si="2"/>
        <v>0</v>
      </c>
      <c r="L51" s="34">
        <f>COUNTIF($H$19:H51,"&gt;="&amp;H51)+COUNTIF(H52:$H$68,"&gt;"&amp;H51)</f>
        <v>33</v>
      </c>
    </row>
    <row r="52" spans="2:12" ht="15" thickBot="1" x14ac:dyDescent="0.35">
      <c r="B52" s="191"/>
      <c r="C52" s="468" t="s">
        <v>27</v>
      </c>
      <c r="D52" s="193"/>
      <c r="E52" s="192"/>
      <c r="F52" s="34">
        <f>VLOOKUP(C52,Lookup!$S$3:$U$11,2,FALSE)</f>
        <v>0</v>
      </c>
      <c r="G52" s="34" t="str">
        <f>IF(C52="bitte wählen","",ROUNDUP(E52/VLOOKUP(C52,Lookup!$S$3:$U$11,3,FALSE),0))</f>
        <v/>
      </c>
      <c r="H52" s="34">
        <f t="shared" si="3"/>
        <v>0</v>
      </c>
      <c r="I52" s="74"/>
      <c r="J52" s="74">
        <f t="shared" si="2"/>
        <v>0</v>
      </c>
      <c r="L52" s="34">
        <f>COUNTIF($H$19:H52,"&gt;="&amp;H52)+COUNTIF(H53:$H$68,"&gt;"&amp;H52)</f>
        <v>34</v>
      </c>
    </row>
    <row r="53" spans="2:12" ht="15" thickBot="1" x14ac:dyDescent="0.35">
      <c r="B53" s="191"/>
      <c r="C53" s="468" t="s">
        <v>27</v>
      </c>
      <c r="D53" s="193"/>
      <c r="E53" s="192"/>
      <c r="F53" s="34">
        <f>VLOOKUP(C53,Lookup!$S$3:$U$11,2,FALSE)</f>
        <v>0</v>
      </c>
      <c r="G53" s="34" t="str">
        <f>IF(C53="bitte wählen","",ROUNDUP(E53/VLOOKUP(C53,Lookup!$S$3:$U$11,3,FALSE),0))</f>
        <v/>
      </c>
      <c r="H53" s="34">
        <f t="shared" si="3"/>
        <v>0</v>
      </c>
      <c r="I53" s="74"/>
      <c r="J53" s="74">
        <f t="shared" si="2"/>
        <v>0</v>
      </c>
      <c r="L53" s="34">
        <f>COUNTIF($H$19:H53,"&gt;="&amp;H53)+COUNTIF(H54:$H$68,"&gt;"&amp;H53)</f>
        <v>35</v>
      </c>
    </row>
    <row r="54" spans="2:12" ht="15" thickBot="1" x14ac:dyDescent="0.35">
      <c r="B54" s="191"/>
      <c r="C54" s="468" t="s">
        <v>27</v>
      </c>
      <c r="D54" s="193"/>
      <c r="E54" s="192"/>
      <c r="F54" s="34">
        <f>VLOOKUP(C54,Lookup!$S$3:$U$11,2,FALSE)</f>
        <v>0</v>
      </c>
      <c r="G54" s="34" t="str">
        <f>IF(C54="bitte wählen","",ROUNDUP(E54/VLOOKUP(C54,Lookup!$S$3:$U$11,3,FALSE),0))</f>
        <v/>
      </c>
      <c r="H54" s="34">
        <f t="shared" si="3"/>
        <v>0</v>
      </c>
      <c r="I54" s="74"/>
      <c r="J54" s="74">
        <f t="shared" si="2"/>
        <v>0</v>
      </c>
      <c r="L54" s="34">
        <f>COUNTIF($H$19:H54,"&gt;="&amp;H54)+COUNTIF(H55:$H$68,"&gt;"&amp;H54)</f>
        <v>36</v>
      </c>
    </row>
    <row r="55" spans="2:12" ht="15" thickBot="1" x14ac:dyDescent="0.35">
      <c r="B55" s="191"/>
      <c r="C55" s="468" t="s">
        <v>27</v>
      </c>
      <c r="D55" s="193"/>
      <c r="E55" s="192"/>
      <c r="F55" s="34">
        <f>VLOOKUP(C55,Lookup!$S$3:$U$11,2,FALSE)</f>
        <v>0</v>
      </c>
      <c r="G55" s="34" t="str">
        <f>IF(C55="bitte wählen","",ROUNDUP(E55/VLOOKUP(C55,Lookup!$S$3:$U$11,3,FALSE),0))</f>
        <v/>
      </c>
      <c r="H55" s="34">
        <f t="shared" si="3"/>
        <v>0</v>
      </c>
      <c r="I55" s="74"/>
      <c r="J55" s="74">
        <f t="shared" si="2"/>
        <v>0</v>
      </c>
      <c r="L55" s="34">
        <f>COUNTIF($H$19:H55,"&gt;="&amp;H55)+COUNTIF(H56:$H$68,"&gt;"&amp;H55)</f>
        <v>37</v>
      </c>
    </row>
    <row r="56" spans="2:12" ht="15" thickBot="1" x14ac:dyDescent="0.35">
      <c r="B56" s="191"/>
      <c r="C56" s="468" t="s">
        <v>27</v>
      </c>
      <c r="D56" s="193"/>
      <c r="E56" s="192"/>
      <c r="F56" s="34">
        <f>VLOOKUP(C56,Lookup!$S$3:$U$11,2,FALSE)</f>
        <v>0</v>
      </c>
      <c r="G56" s="34" t="str">
        <f>IF(C56="bitte wählen","",ROUNDUP(E56/VLOOKUP(C56,Lookup!$S$3:$U$11,3,FALSE),0))</f>
        <v/>
      </c>
      <c r="H56" s="34">
        <f t="shared" si="3"/>
        <v>0</v>
      </c>
      <c r="I56" s="74"/>
      <c r="J56" s="74">
        <f t="shared" si="2"/>
        <v>0</v>
      </c>
      <c r="L56" s="34">
        <f>COUNTIF($H$19:H56,"&gt;="&amp;H56)+COUNTIF(H57:$H$68,"&gt;"&amp;H56)</f>
        <v>38</v>
      </c>
    </row>
    <row r="57" spans="2:12" ht="15" thickBot="1" x14ac:dyDescent="0.35">
      <c r="B57" s="191"/>
      <c r="C57" s="468" t="s">
        <v>27</v>
      </c>
      <c r="D57" s="193"/>
      <c r="E57" s="192"/>
      <c r="F57" s="34">
        <f>VLOOKUP(C57,Lookup!$S$3:$U$11,2,FALSE)</f>
        <v>0</v>
      </c>
      <c r="G57" s="34" t="str">
        <f>IF(C57="bitte wählen","",ROUNDUP(E57/VLOOKUP(C57,Lookup!$S$3:$U$11,3,FALSE),0))</f>
        <v/>
      </c>
      <c r="H57" s="34">
        <f t="shared" si="3"/>
        <v>0</v>
      </c>
      <c r="I57" s="74"/>
      <c r="J57" s="74">
        <f t="shared" si="2"/>
        <v>0</v>
      </c>
      <c r="L57" s="34">
        <f>COUNTIF($H$19:H57,"&gt;="&amp;H57)+COUNTIF(H58:$H$68,"&gt;"&amp;H57)</f>
        <v>39</v>
      </c>
    </row>
    <row r="58" spans="2:12" ht="15" thickBot="1" x14ac:dyDescent="0.35">
      <c r="B58" s="191"/>
      <c r="C58" s="468" t="s">
        <v>27</v>
      </c>
      <c r="D58" s="193"/>
      <c r="E58" s="192"/>
      <c r="F58" s="34">
        <f>VLOOKUP(C58,Lookup!$S$3:$U$11,2,FALSE)</f>
        <v>0</v>
      </c>
      <c r="G58" s="34" t="str">
        <f>IF(C58="bitte wählen","",ROUNDUP(E58/VLOOKUP(C58,Lookup!$S$3:$U$11,3,FALSE),0))</f>
        <v/>
      </c>
      <c r="H58" s="34">
        <f t="shared" si="3"/>
        <v>0</v>
      </c>
      <c r="I58" s="74"/>
      <c r="J58" s="74">
        <f t="shared" si="2"/>
        <v>0</v>
      </c>
      <c r="L58" s="34">
        <f>COUNTIF($H$19:H58,"&gt;="&amp;H58)+COUNTIF(H59:$H$68,"&gt;"&amp;H58)</f>
        <v>40</v>
      </c>
    </row>
    <row r="59" spans="2:12" ht="15" thickBot="1" x14ac:dyDescent="0.35">
      <c r="B59" s="191"/>
      <c r="C59" s="468" t="s">
        <v>27</v>
      </c>
      <c r="D59" s="193"/>
      <c r="E59" s="192"/>
      <c r="F59" s="34">
        <f>VLOOKUP(C59,Lookup!$S$3:$U$11,2,FALSE)</f>
        <v>0</v>
      </c>
      <c r="G59" s="34" t="str">
        <f>IF(C59="bitte wählen","",ROUNDUP(E59/VLOOKUP(C59,Lookup!$S$3:$U$11,3,FALSE),0))</f>
        <v/>
      </c>
      <c r="H59" s="34">
        <f t="shared" si="3"/>
        <v>0</v>
      </c>
      <c r="I59" s="74"/>
      <c r="J59" s="74">
        <f t="shared" si="2"/>
        <v>0</v>
      </c>
      <c r="L59" s="34">
        <f>COUNTIF($H$19:H59,"&gt;="&amp;H59)+COUNTIF(H60:$H$68,"&gt;"&amp;H59)</f>
        <v>41</v>
      </c>
    </row>
    <row r="60" spans="2:12" ht="15" thickBot="1" x14ac:dyDescent="0.35">
      <c r="B60" s="191"/>
      <c r="C60" s="468" t="s">
        <v>27</v>
      </c>
      <c r="D60" s="193"/>
      <c r="E60" s="192"/>
      <c r="F60" s="34">
        <f>VLOOKUP(C60,Lookup!$S$3:$U$11,2,FALSE)</f>
        <v>0</v>
      </c>
      <c r="G60" s="34" t="str">
        <f>IF(C60="bitte wählen","",ROUNDUP(E60/VLOOKUP(C60,Lookup!$S$3:$U$11,3,FALSE),0))</f>
        <v/>
      </c>
      <c r="H60" s="34">
        <f t="shared" si="3"/>
        <v>0</v>
      </c>
      <c r="I60" s="74"/>
      <c r="J60" s="74">
        <f t="shared" si="2"/>
        <v>0</v>
      </c>
      <c r="L60" s="34">
        <f>COUNTIF($H$19:H60,"&gt;="&amp;H60)+COUNTIF(H61:$H$68,"&gt;"&amp;H60)</f>
        <v>42</v>
      </c>
    </row>
    <row r="61" spans="2:12" ht="15" thickBot="1" x14ac:dyDescent="0.35">
      <c r="B61" s="191"/>
      <c r="C61" s="468" t="s">
        <v>27</v>
      </c>
      <c r="D61" s="193"/>
      <c r="E61" s="192"/>
      <c r="F61" s="34">
        <f>VLOOKUP(C61,Lookup!$S$3:$U$11,2,FALSE)</f>
        <v>0</v>
      </c>
      <c r="G61" s="34" t="str">
        <f>IF(C61="bitte wählen","",ROUNDUP(E61/VLOOKUP(C61,Lookup!$S$3:$U$11,3,FALSE),0))</f>
        <v/>
      </c>
      <c r="H61" s="34">
        <f t="shared" si="3"/>
        <v>0</v>
      </c>
      <c r="I61" s="74"/>
      <c r="J61" s="74">
        <f t="shared" si="2"/>
        <v>0</v>
      </c>
      <c r="L61" s="34">
        <f>COUNTIF($H$19:H61,"&gt;="&amp;H61)+COUNTIF(H62:$H$68,"&gt;"&amp;H61)</f>
        <v>43</v>
      </c>
    </row>
    <row r="62" spans="2:12" ht="15" thickBot="1" x14ac:dyDescent="0.35">
      <c r="B62" s="191"/>
      <c r="C62" s="468" t="s">
        <v>27</v>
      </c>
      <c r="D62" s="193"/>
      <c r="E62" s="192"/>
      <c r="F62" s="34">
        <f>VLOOKUP(C62,Lookup!$S$3:$U$11,2,FALSE)</f>
        <v>0</v>
      </c>
      <c r="G62" s="34" t="str">
        <f>IF(C62="bitte wählen","",ROUNDUP(E62/VLOOKUP(C62,Lookup!$S$3:$U$11,3,FALSE),0))</f>
        <v/>
      </c>
      <c r="H62" s="34">
        <f t="shared" si="3"/>
        <v>0</v>
      </c>
      <c r="I62" s="74"/>
      <c r="J62" s="74">
        <f t="shared" si="2"/>
        <v>0</v>
      </c>
      <c r="L62" s="34">
        <f>COUNTIF($H$19:H62,"&gt;="&amp;H62)+COUNTIF(H63:$H$68,"&gt;"&amp;H62)</f>
        <v>44</v>
      </c>
    </row>
    <row r="63" spans="2:12" ht="15" thickBot="1" x14ac:dyDescent="0.35">
      <c r="B63" s="191"/>
      <c r="C63" s="468" t="s">
        <v>27</v>
      </c>
      <c r="D63" s="193"/>
      <c r="E63" s="192"/>
      <c r="F63" s="34">
        <f>VLOOKUP(C63,Lookup!$S$3:$U$11,2,FALSE)</f>
        <v>0</v>
      </c>
      <c r="G63" s="34" t="str">
        <f>IF(C63="bitte wählen","",ROUNDUP(E63/VLOOKUP(C63,Lookup!$S$3:$U$11,3,FALSE),0))</f>
        <v/>
      </c>
      <c r="H63" s="34">
        <f t="shared" si="3"/>
        <v>0</v>
      </c>
      <c r="I63" s="74"/>
      <c r="J63" s="74">
        <f t="shared" si="2"/>
        <v>0</v>
      </c>
      <c r="L63" s="34">
        <f>COUNTIF($H$19:H63,"&gt;="&amp;H63)+COUNTIF(H64:$H$68,"&gt;"&amp;H63)</f>
        <v>45</v>
      </c>
    </row>
    <row r="64" spans="2:12" ht="15" thickBot="1" x14ac:dyDescent="0.35">
      <c r="B64" s="191"/>
      <c r="C64" s="468" t="s">
        <v>27</v>
      </c>
      <c r="D64" s="193"/>
      <c r="E64" s="192"/>
      <c r="F64" s="34">
        <f>VLOOKUP(C64,Lookup!$S$3:$U$11,2,FALSE)</f>
        <v>0</v>
      </c>
      <c r="G64" s="34" t="str">
        <f>IF(C64="bitte wählen","",ROUNDUP(E64/VLOOKUP(C64,Lookup!$S$3:$U$11,3,FALSE),0))</f>
        <v/>
      </c>
      <c r="H64" s="34">
        <f t="shared" si="3"/>
        <v>0</v>
      </c>
      <c r="I64" s="74"/>
      <c r="J64" s="74">
        <f t="shared" si="2"/>
        <v>0</v>
      </c>
      <c r="L64" s="34">
        <f>COUNTIF($H$19:H64,"&gt;="&amp;H64)+COUNTIF(H65:$H$68,"&gt;"&amp;H64)</f>
        <v>46</v>
      </c>
    </row>
    <row r="65" spans="2:12" ht="15" thickBot="1" x14ac:dyDescent="0.35">
      <c r="B65" s="191"/>
      <c r="C65" s="468" t="s">
        <v>27</v>
      </c>
      <c r="D65" s="193"/>
      <c r="E65" s="192"/>
      <c r="F65" s="34">
        <f>VLOOKUP(C65,Lookup!$S$3:$U$11,2,FALSE)</f>
        <v>0</v>
      </c>
      <c r="G65" s="34" t="str">
        <f>IF(C65="bitte wählen","",ROUNDUP(E65/VLOOKUP(C65,Lookup!$S$3:$U$11,3,FALSE),0))</f>
        <v/>
      </c>
      <c r="H65" s="34">
        <f t="shared" si="3"/>
        <v>0</v>
      </c>
      <c r="I65" s="74"/>
      <c r="J65" s="74">
        <f t="shared" si="2"/>
        <v>0</v>
      </c>
      <c r="L65" s="34">
        <f>COUNTIF($H$19:H65,"&gt;="&amp;H65)+COUNTIF(H66:$H$68,"&gt;"&amp;H65)</f>
        <v>47</v>
      </c>
    </row>
    <row r="66" spans="2:12" ht="15" thickBot="1" x14ac:dyDescent="0.35">
      <c r="B66" s="191"/>
      <c r="C66" s="468" t="s">
        <v>27</v>
      </c>
      <c r="D66" s="193"/>
      <c r="E66" s="192"/>
      <c r="F66" s="34">
        <f>VLOOKUP(C66,Lookup!$S$3:$U$11,2,FALSE)</f>
        <v>0</v>
      </c>
      <c r="G66" s="34" t="str">
        <f>IF(C66="bitte wählen","",ROUNDUP(E66/VLOOKUP(C66,Lookup!$S$3:$U$11,3,FALSE),0))</f>
        <v/>
      </c>
      <c r="H66" s="34">
        <f t="shared" si="3"/>
        <v>0</v>
      </c>
      <c r="I66" s="74"/>
      <c r="J66" s="74">
        <f t="shared" si="2"/>
        <v>0</v>
      </c>
      <c r="L66" s="34">
        <f>COUNTIF($H$19:H66,"&gt;="&amp;H66)+COUNTIF(H67:$H$68,"&gt;"&amp;H66)</f>
        <v>48</v>
      </c>
    </row>
    <row r="67" spans="2:12" ht="15" thickBot="1" x14ac:dyDescent="0.35">
      <c r="B67" s="191"/>
      <c r="C67" s="468" t="s">
        <v>27</v>
      </c>
      <c r="D67" s="193"/>
      <c r="E67" s="192"/>
      <c r="F67" s="34">
        <f>VLOOKUP(C67,Lookup!$S$3:$U$11,2,FALSE)</f>
        <v>0</v>
      </c>
      <c r="G67" s="34" t="str">
        <f>IF(C67="bitte wählen","",ROUNDUP(E67/VLOOKUP(C67,Lookup!$S$3:$U$11,3,FALSE),0))</f>
        <v/>
      </c>
      <c r="H67" s="34">
        <f t="shared" si="3"/>
        <v>0</v>
      </c>
      <c r="I67" s="74"/>
      <c r="J67" s="74">
        <f t="shared" si="2"/>
        <v>0</v>
      </c>
      <c r="L67" s="34">
        <f>COUNTIF($H$19:H67,"&gt;="&amp;H67)+COUNTIF(H68:$H$68,"&gt;"&amp;H67)</f>
        <v>49</v>
      </c>
    </row>
    <row r="68" spans="2:12" ht="15" thickBot="1" x14ac:dyDescent="0.35">
      <c r="B68" s="191"/>
      <c r="C68" s="468" t="s">
        <v>27</v>
      </c>
      <c r="D68" s="193"/>
      <c r="E68" s="192"/>
      <c r="F68" s="34">
        <f>VLOOKUP(C68,Lookup!$S$3:$U$11,2,FALSE)</f>
        <v>0</v>
      </c>
      <c r="G68" s="34" t="str">
        <f>IF(C68="bitte wählen","",ROUNDUP(E68/VLOOKUP(C68,Lookup!$S$3:$U$11,3,FALSE),0))</f>
        <v/>
      </c>
      <c r="H68" s="34">
        <f t="shared" si="3"/>
        <v>0</v>
      </c>
      <c r="I68" s="74"/>
      <c r="J68" s="74">
        <f t="shared" si="2"/>
        <v>0</v>
      </c>
      <c r="L68" s="34">
        <f>COUNTIF($H$19:H68,"&gt;="&amp;H68)</f>
        <v>50</v>
      </c>
    </row>
    <row r="69" spans="2:12" x14ac:dyDescent="0.3">
      <c r="H69" s="74">
        <f>SUM(H19:H68)</f>
        <v>25918.5</v>
      </c>
      <c r="I69" s="74"/>
    </row>
    <row r="72" spans="2:12" ht="20.399999999999999" thickBot="1" x14ac:dyDescent="0.5">
      <c r="B72" s="3" t="s">
        <v>539</v>
      </c>
    </row>
    <row r="73" spans="2:12" ht="15" thickTop="1" x14ac:dyDescent="0.3"/>
    <row r="75" spans="2:12" x14ac:dyDescent="0.3">
      <c r="B75" s="65" t="str">
        <f>B19</f>
        <v>Beispiel Klassenfahrt England 9c</v>
      </c>
      <c r="C75" s="87">
        <f>H19/$H$16</f>
        <v>0.96425333256168377</v>
      </c>
    </row>
    <row r="76" spans="2:12" x14ac:dyDescent="0.3">
      <c r="B76" s="65" t="str">
        <f t="shared" ref="B76:B79" si="4">B20</f>
        <v>Beispiel Klassenfahrt Berlin 10a</v>
      </c>
      <c r="C76" s="87">
        <f>H20/$H$16</f>
        <v>3.5110056523332753E-2</v>
      </c>
    </row>
    <row r="77" spans="2:12" x14ac:dyDescent="0.3">
      <c r="B77" s="65" t="str">
        <f t="shared" si="4"/>
        <v>Beispiel Landschulheim 10b</v>
      </c>
      <c r="C77" s="87">
        <f>H21/$H$16</f>
        <v>6.3661091498350597E-4</v>
      </c>
    </row>
    <row r="78" spans="2:12" x14ac:dyDescent="0.3">
      <c r="B78" s="65">
        <f t="shared" si="4"/>
        <v>0</v>
      </c>
      <c r="C78" s="87">
        <f>H22/$H$16</f>
        <v>0</v>
      </c>
    </row>
    <row r="79" spans="2:12" x14ac:dyDescent="0.3">
      <c r="B79" s="65">
        <f t="shared" si="4"/>
        <v>0</v>
      </c>
      <c r="C79" s="87">
        <f>H23/$H$16</f>
        <v>0</v>
      </c>
    </row>
    <row r="80" spans="2:12" x14ac:dyDescent="0.3">
      <c r="B80" t="s">
        <v>78</v>
      </c>
      <c r="C80" s="87">
        <f>1-SUM(C75:C79)</f>
        <v>0</v>
      </c>
    </row>
    <row r="84" spans="1:4" ht="18" thickBot="1" x14ac:dyDescent="0.4">
      <c r="B84" s="3" t="s">
        <v>1180</v>
      </c>
    </row>
    <row r="85" spans="1:4" ht="15" thickTop="1" x14ac:dyDescent="0.3">
      <c r="A85" s="78">
        <v>1</v>
      </c>
      <c r="B85" t="str" cm="1">
        <f t="array" ref="B85">INDEX(B:B,D85)</f>
        <v>Beispiel Klassenfahrt England 9c</v>
      </c>
      <c r="C85" s="87" cm="1">
        <f t="array" ref="C85">INDEX(H:H,D85)/$H$16</f>
        <v>0.96425333256168377</v>
      </c>
      <c r="D85">
        <f>MATCH(A85,L:L,0)</f>
        <v>19</v>
      </c>
    </row>
    <row r="86" spans="1:4" x14ac:dyDescent="0.3">
      <c r="A86" s="78">
        <v>2</v>
      </c>
      <c r="B86" t="str" cm="1">
        <f t="array" ref="B86">INDEX(B:B,D86)</f>
        <v>Beispiel Klassenfahrt Berlin 10a</v>
      </c>
      <c r="C86" s="87" cm="1">
        <f t="array" ref="C86">INDEX(H:H,D86)/$H$16</f>
        <v>3.5110056523332753E-2</v>
      </c>
      <c r="D86">
        <f>MATCH(A86,L:L,0)</f>
        <v>20</v>
      </c>
    </row>
    <row r="87" spans="1:4" x14ac:dyDescent="0.3">
      <c r="A87" s="78">
        <v>3</v>
      </c>
      <c r="B87" t="str" cm="1">
        <f t="array" ref="B87">INDEX(B:B,D87)</f>
        <v>Beispiel Landschulheim 10b</v>
      </c>
      <c r="C87" s="87" cm="1">
        <f t="array" ref="C87">INDEX(H:H,D87)/$H$16</f>
        <v>6.3661091498350597E-4</v>
      </c>
      <c r="D87">
        <f>MATCH(A87,L:L,0)</f>
        <v>21</v>
      </c>
    </row>
    <row r="88" spans="1:4" x14ac:dyDescent="0.3">
      <c r="A88" s="78">
        <v>4</v>
      </c>
      <c r="B88" cm="1">
        <f t="array" ref="B88">INDEX(B:B,D88)</f>
        <v>0</v>
      </c>
      <c r="C88" s="87" cm="1">
        <f t="array" ref="C88">INDEX(H:H,D88)/$H$16</f>
        <v>0</v>
      </c>
      <c r="D88">
        <f>MATCH(A88,L:L,0)</f>
        <v>22</v>
      </c>
    </row>
    <row r="89" spans="1:4" x14ac:dyDescent="0.3">
      <c r="A89" s="78">
        <v>5</v>
      </c>
      <c r="B89" cm="1">
        <f t="array" ref="B89">INDEX(B:B,D89)</f>
        <v>0</v>
      </c>
      <c r="C89" s="87" cm="1">
        <f t="array" ref="C89">INDEX(H:H,D89)/$H$16</f>
        <v>0</v>
      </c>
      <c r="D89">
        <f>MATCH(A89,L:L,0)</f>
        <v>23</v>
      </c>
    </row>
    <row r="90" spans="1:4" x14ac:dyDescent="0.3">
      <c r="A90" s="78"/>
      <c r="B90" s="8" t="s">
        <v>78</v>
      </c>
      <c r="C90" s="348">
        <f>1-SUM(C85:C89)</f>
        <v>0</v>
      </c>
    </row>
    <row r="101" spans="2:8" ht="21.6" customHeight="1" x14ac:dyDescent="0.3">
      <c r="B101" s="575" t="s">
        <v>1377</v>
      </c>
      <c r="C101" s="576"/>
      <c r="D101" s="576"/>
      <c r="E101" s="576"/>
      <c r="F101" s="576"/>
      <c r="G101" s="576"/>
      <c r="H101" s="577"/>
    </row>
    <row r="102" spans="2:8" ht="21.6" customHeight="1" x14ac:dyDescent="0.3">
      <c r="B102" s="578"/>
      <c r="C102" s="562"/>
      <c r="D102" s="562"/>
      <c r="E102" s="562"/>
      <c r="F102" s="562"/>
      <c r="G102" s="562"/>
      <c r="H102" s="579"/>
    </row>
    <row r="103" spans="2:8" ht="21.6" customHeight="1" x14ac:dyDescent="0.3">
      <c r="B103" s="578"/>
      <c r="C103" s="562"/>
      <c r="D103" s="562"/>
      <c r="E103" s="562"/>
      <c r="F103" s="562"/>
      <c r="G103" s="562"/>
      <c r="H103" s="579"/>
    </row>
    <row r="104" spans="2:8" ht="30" customHeight="1" x14ac:dyDescent="0.3">
      <c r="B104" s="580"/>
      <c r="C104" s="572"/>
      <c r="D104" s="572"/>
      <c r="E104" s="572"/>
      <c r="F104" s="572"/>
      <c r="G104" s="572"/>
      <c r="H104" s="573"/>
    </row>
    <row r="135" spans="11:11" x14ac:dyDescent="0.3">
      <c r="K135" s="8"/>
    </row>
    <row r="137" spans="11:11" x14ac:dyDescent="0.3">
      <c r="K137" s="8"/>
    </row>
    <row r="139" spans="11:11" x14ac:dyDescent="0.3">
      <c r="K139" s="8"/>
    </row>
    <row r="141" spans="11:11" x14ac:dyDescent="0.3">
      <c r="K141" s="8"/>
    </row>
    <row r="142" spans="11:11" x14ac:dyDescent="0.3">
      <c r="K142" s="36"/>
    </row>
    <row r="143" spans="11:11" x14ac:dyDescent="0.3">
      <c r="K143" s="36"/>
    </row>
    <row r="144" spans="11:11" x14ac:dyDescent="0.3">
      <c r="K144" s="36"/>
    </row>
    <row r="145" spans="11:11" x14ac:dyDescent="0.3">
      <c r="K145" s="36"/>
    </row>
    <row r="146" spans="11:11" x14ac:dyDescent="0.3">
      <c r="K146" s="36"/>
    </row>
    <row r="147" spans="11:11" x14ac:dyDescent="0.3">
      <c r="K147" s="36"/>
    </row>
    <row r="148" spans="11:11" x14ac:dyDescent="0.3">
      <c r="K148" s="36"/>
    </row>
    <row r="149" spans="11:11" x14ac:dyDescent="0.3">
      <c r="K149" s="36"/>
    </row>
    <row r="150" spans="11:11" x14ac:dyDescent="0.3">
      <c r="K150" s="36"/>
    </row>
    <row r="151" spans="11:11" x14ac:dyDescent="0.3">
      <c r="K151" s="36"/>
    </row>
    <row r="153" spans="11:11" x14ac:dyDescent="0.3">
      <c r="K153" s="8"/>
    </row>
    <row r="155" spans="11:11" x14ac:dyDescent="0.3">
      <c r="K155" s="8"/>
    </row>
    <row r="156" spans="11:11" x14ac:dyDescent="0.3">
      <c r="K156" s="36"/>
    </row>
    <row r="157" spans="11:11" x14ac:dyDescent="0.3">
      <c r="K157" s="36"/>
    </row>
    <row r="158" spans="11:11" x14ac:dyDescent="0.3">
      <c r="K158" s="36"/>
    </row>
    <row r="159" spans="11:11" x14ac:dyDescent="0.3">
      <c r="K159" s="36"/>
    </row>
    <row r="160" spans="11:11" x14ac:dyDescent="0.3">
      <c r="K160" s="36"/>
    </row>
    <row r="161" spans="11:11" x14ac:dyDescent="0.3">
      <c r="K161" s="36"/>
    </row>
    <row r="162" spans="11:11" x14ac:dyDescent="0.3">
      <c r="K162" s="36"/>
    </row>
    <row r="163" spans="11:11" x14ac:dyDescent="0.3">
      <c r="K163" s="36"/>
    </row>
    <row r="164" spans="11:11" x14ac:dyDescent="0.3">
      <c r="K164" s="36"/>
    </row>
    <row r="165" spans="11:11" x14ac:dyDescent="0.3">
      <c r="K165" s="36"/>
    </row>
    <row r="167" spans="11:11" x14ac:dyDescent="0.3">
      <c r="K167" s="8"/>
    </row>
    <row r="169" spans="11:11" x14ac:dyDescent="0.3">
      <c r="K169" s="8"/>
    </row>
    <row r="171" spans="11:11" x14ac:dyDescent="0.3">
      <c r="K171" s="8"/>
    </row>
    <row r="173" spans="11:11" x14ac:dyDescent="0.3">
      <c r="K173" s="8"/>
    </row>
    <row r="175" spans="11:11" x14ac:dyDescent="0.3">
      <c r="K175" s="8"/>
    </row>
    <row r="177" spans="11:11" x14ac:dyDescent="0.3">
      <c r="K177" s="8"/>
    </row>
    <row r="179" spans="11:11" x14ac:dyDescent="0.3">
      <c r="K179" s="8"/>
    </row>
    <row r="181" spans="11:11" x14ac:dyDescent="0.3">
      <c r="K181" s="8"/>
    </row>
    <row r="182" spans="11:11" x14ac:dyDescent="0.3">
      <c r="K182" s="8"/>
    </row>
    <row r="183" spans="11:11" x14ac:dyDescent="0.3">
      <c r="K183" s="8"/>
    </row>
    <row r="184" spans="11:11" x14ac:dyDescent="0.3">
      <c r="K184" s="36"/>
    </row>
    <row r="185" spans="11:11" x14ac:dyDescent="0.3">
      <c r="K185" s="36"/>
    </row>
    <row r="186" spans="11:11" x14ac:dyDescent="0.3">
      <c r="K186" s="36"/>
    </row>
    <row r="188" spans="11:11" x14ac:dyDescent="0.3">
      <c r="K188" s="8"/>
    </row>
    <row r="190" spans="11:11" x14ac:dyDescent="0.3">
      <c r="K190" s="8"/>
    </row>
    <row r="193" spans="1:5" ht="18" thickBot="1" x14ac:dyDescent="0.4">
      <c r="B193" s="3"/>
      <c r="C193" s="3"/>
      <c r="D193" s="3"/>
      <c r="E193" s="3"/>
    </row>
    <row r="194" spans="1:5" ht="15" thickTop="1" x14ac:dyDescent="0.3"/>
    <row r="195" spans="1:5" ht="18" customHeight="1" x14ac:dyDescent="0.3">
      <c r="A195" s="86"/>
    </row>
    <row r="196" spans="1:5" ht="18" customHeight="1" x14ac:dyDescent="0.3">
      <c r="A196" s="86"/>
    </row>
    <row r="197" spans="1:5" ht="18" customHeight="1" x14ac:dyDescent="0.3">
      <c r="A197" s="86"/>
      <c r="D197" s="85"/>
    </row>
    <row r="198" spans="1:5" ht="18" customHeight="1" x14ac:dyDescent="0.3">
      <c r="A198" s="86"/>
      <c r="D198" s="85"/>
    </row>
    <row r="199" spans="1:5" ht="18" customHeight="1" x14ac:dyDescent="0.3">
      <c r="A199" s="86"/>
      <c r="D199" s="85"/>
    </row>
    <row r="200" spans="1:5" ht="18" customHeight="1" x14ac:dyDescent="0.3">
      <c r="A200" s="86"/>
      <c r="D200" s="85"/>
    </row>
    <row r="201" spans="1:5" ht="18" customHeight="1" x14ac:dyDescent="0.3">
      <c r="A201" s="86"/>
      <c r="D201" s="85"/>
    </row>
    <row r="202" spans="1:5" ht="18" customHeight="1" x14ac:dyDescent="0.3">
      <c r="A202" s="86"/>
      <c r="D202" s="85"/>
    </row>
    <row r="203" spans="1:5" ht="18" customHeight="1" x14ac:dyDescent="0.3">
      <c r="A203" s="86"/>
      <c r="D203" s="85"/>
    </row>
    <row r="204" spans="1:5" ht="18" customHeight="1" x14ac:dyDescent="0.3">
      <c r="A204" s="86"/>
      <c r="D204" s="87"/>
    </row>
    <row r="205" spans="1:5" ht="18" customHeight="1" x14ac:dyDescent="0.3">
      <c r="A205" s="86"/>
      <c r="D205" s="87"/>
    </row>
    <row r="206" spans="1:5" ht="18" customHeight="1" x14ac:dyDescent="0.3">
      <c r="A206" s="86"/>
      <c r="D206" s="87"/>
    </row>
    <row r="207" spans="1:5" ht="18" customHeight="1" x14ac:dyDescent="0.3">
      <c r="A207" s="86"/>
    </row>
    <row r="208" spans="1:5" ht="18" customHeight="1" x14ac:dyDescent="0.3">
      <c r="A208" s="86"/>
    </row>
    <row r="209" spans="1:1" ht="19.2" customHeight="1" x14ac:dyDescent="0.3">
      <c r="A209" s="86"/>
    </row>
    <row r="210" spans="1:1" ht="19.2" customHeight="1" x14ac:dyDescent="0.3">
      <c r="A210" s="86"/>
    </row>
    <row r="211" spans="1:1" ht="19.2" customHeight="1" x14ac:dyDescent="0.3">
      <c r="A211" s="86"/>
    </row>
    <row r="212" spans="1:1" ht="19.2" customHeight="1" x14ac:dyDescent="0.3">
      <c r="A212" s="86"/>
    </row>
    <row r="213" spans="1:1" ht="19.2" customHeight="1" x14ac:dyDescent="0.3">
      <c r="A213" s="86"/>
    </row>
    <row r="214" spans="1:1" ht="19.2" customHeight="1" x14ac:dyDescent="0.3">
      <c r="A214" s="86"/>
    </row>
    <row r="215" spans="1:1" ht="19.2" customHeight="1" x14ac:dyDescent="0.3">
      <c r="A215" s="86"/>
    </row>
    <row r="216" spans="1:1" ht="19.2" customHeight="1" x14ac:dyDescent="0.3">
      <c r="A216" s="86"/>
    </row>
  </sheetData>
  <sheetProtection algorithmName="SHA-512" hashValue="fSlNv6ZtzXdWPLMX3n73cuahobNtOBfXkVLLEBSt0d6ySUYhGV5iG4nSfLKFqSFR6Z2prTPIjsRsH558fwpxng==" saltValue="UqHsDEN+WBI+JNuIt3pCqw==" spinCount="100000" sheet="1" objects="1" scenarios="1"/>
  <autoFilter ref="B18:H68">
    <sortState ref="B19:H68">
      <sortCondition descending="1" ref="H18:H68"/>
    </sortState>
  </autoFilter>
  <mergeCells count="3">
    <mergeCell ref="B7:H12"/>
    <mergeCell ref="E14:F14"/>
    <mergeCell ref="B101:H104"/>
  </mergeCells>
  <phoneticPr fontId="39" type="noConversion"/>
  <hyperlinks>
    <hyperlink ref="A5" location="Inhalt!A1" display="&lt;= Start"/>
    <hyperlink ref="E14" location="Inhalt!A1" display="&lt;== zur Übersicht"/>
    <hyperlink ref="G14" location="Ergebnis!A1" display="zum Ergebnis ==&gt;"/>
    <hyperlink ref="E14:F14" location="Schulwege!A1" display="&lt;== zur Übersicht Verkehr"/>
  </hyperlinks>
  <pageMargins left="0.7" right="0.7" top="0.75" bottom="0.75" header="0.3" footer="0.3"/>
  <pageSetup paperSize="9" orientation="portrait"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Lookup!$S$4:$S$11</xm:f>
          </x14:formula1>
          <xm:sqref>C19:C68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dcbc751-f441-4f0d-854b-6c0655ebcc1f">
      <Terms xmlns="http://schemas.microsoft.com/office/infopath/2007/PartnerControls"/>
    </lcf76f155ced4ddcb4097134ff3c332f>
    <TaxCatchAll xmlns="fafeb6a7-b17c-426e-9d88-63dcf710e3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01DFF165D3F084980F3FAC23124C36A" ma:contentTypeVersion="16" ma:contentTypeDescription="Ein neues Dokument erstellen." ma:contentTypeScope="" ma:versionID="df5b72d4e4bc10eaf8e4aa8b3deb87c0">
  <xsd:schema xmlns:xsd="http://www.w3.org/2001/XMLSchema" xmlns:xs="http://www.w3.org/2001/XMLSchema" xmlns:p="http://schemas.microsoft.com/office/2006/metadata/properties" xmlns:ns2="5dcbc751-f441-4f0d-854b-6c0655ebcc1f" xmlns:ns3="fafeb6a7-b17c-426e-9d88-63dcf710e3e5" targetNamespace="http://schemas.microsoft.com/office/2006/metadata/properties" ma:root="true" ma:fieldsID="7b4198d0dee4f18e844c81b8dcf6fc16" ns2:_="" ns3:_="">
    <xsd:import namespace="5dcbc751-f441-4f0d-854b-6c0655ebcc1f"/>
    <xsd:import namespace="fafeb6a7-b17c-426e-9d88-63dcf710e3e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cbc751-f441-4f0d-854b-6c0655ebcc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02d9d3b1-d5a8-4cde-b398-ed1b8c96d7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afeb6a7-b17c-426e-9d88-63dcf710e3e5"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eec93bca-5059-4041-a797-631d4c6389ca}" ma:internalName="TaxCatchAll" ma:showField="CatchAllData" ma:web="fafeb6a7-b17c-426e-9d88-63dcf710e3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B2EA71-F7AD-43D5-9167-04E18C44AB18}">
  <ds:schemaRefs>
    <ds:schemaRef ds:uri="http://schemas.microsoft.com/office/2006/metadata/properties"/>
    <ds:schemaRef ds:uri="5dcbc751-f441-4f0d-854b-6c0655ebcc1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fafeb6a7-b17c-426e-9d88-63dcf710e3e5"/>
    <ds:schemaRef ds:uri="http://www.w3.org/XML/1998/namespace"/>
    <ds:schemaRef ds:uri="http://purl.org/dc/dcmitype/"/>
  </ds:schemaRefs>
</ds:datastoreItem>
</file>

<file path=customXml/itemProps2.xml><?xml version="1.0" encoding="utf-8"?>
<ds:datastoreItem xmlns:ds="http://schemas.openxmlformats.org/officeDocument/2006/customXml" ds:itemID="{33F8F5C9-6A8E-463D-981C-CCA8648CA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cbc751-f441-4f0d-854b-6c0655ebcc1f"/>
    <ds:schemaRef ds:uri="fafeb6a7-b17c-426e-9d88-63dcf710e3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745725-B8F4-4FF5-9E2F-044720EEBE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107</vt:i4>
      </vt:variant>
    </vt:vector>
  </HeadingPairs>
  <TitlesOfParts>
    <vt:vector size="124" baseType="lpstr">
      <vt:lpstr>Inhalt</vt:lpstr>
      <vt:lpstr>Allgemeines</vt:lpstr>
      <vt:lpstr>Heizsystem</vt:lpstr>
      <vt:lpstr>Stromverbrauch</vt:lpstr>
      <vt:lpstr>PV</vt:lpstr>
      <vt:lpstr>Anleitung Schulwege</vt:lpstr>
      <vt:lpstr>Daten Schulwege</vt:lpstr>
      <vt:lpstr>Schulwege</vt:lpstr>
      <vt:lpstr>Klassenfahrten</vt:lpstr>
      <vt:lpstr>Schüleraustausch</vt:lpstr>
      <vt:lpstr>Ernährung</vt:lpstr>
      <vt:lpstr>Beschaffung_1</vt:lpstr>
      <vt:lpstr>Beschaffung_2</vt:lpstr>
      <vt:lpstr>Ergebnis</vt:lpstr>
      <vt:lpstr>Einstellungen</vt:lpstr>
      <vt:lpstr>Auswertung</vt:lpstr>
      <vt:lpstr>Lookup</vt:lpstr>
      <vt:lpstr>AnteilSchuleNachPersonenzahl</vt:lpstr>
      <vt:lpstr>AnteilSchuleNachPutzflaeche</vt:lpstr>
      <vt:lpstr>AnzahlLehrer</vt:lpstr>
      <vt:lpstr>AnzahlSchueler</vt:lpstr>
      <vt:lpstr>AnzahlSchultage</vt:lpstr>
      <vt:lpstr>AnzahlTageFruehjahrBisHerbst</vt:lpstr>
      <vt:lpstr>AnzahlTageWinter</vt:lpstr>
      <vt:lpstr>Bezugsjahr</vt:lpstr>
      <vt:lpstr>BezugsjahrEmissionsfaktoren</vt:lpstr>
      <vt:lpstr>BezugsjahrSpalte</vt:lpstr>
      <vt:lpstr>EmissionsfaktorAutoFahrgemeinschaft</vt:lpstr>
      <vt:lpstr>EmissionsfaktorAutoKleinwagen</vt:lpstr>
      <vt:lpstr>EmissionsfaktorAutoMittelklasse</vt:lpstr>
      <vt:lpstr>EmissionsfaktorAutoOberklasse</vt:lpstr>
      <vt:lpstr>EmissionsfaktorBenzinMitVorkette</vt:lpstr>
      <vt:lpstr>EmissionsfaktorBHKWEinspeisung</vt:lpstr>
      <vt:lpstr>EmissionsfaktorBücher</vt:lpstr>
      <vt:lpstr>EmissionsfaktorDieselMitVorkette</vt:lpstr>
      <vt:lpstr>EmissionsfaktorEAuto</vt:lpstr>
      <vt:lpstr>EmissionsfaktorEBike</vt:lpstr>
      <vt:lpstr>EmissionsfaktorEisenbahnFernverkehr</vt:lpstr>
      <vt:lpstr>EmissionsfaktorErdgasKWH</vt:lpstr>
      <vt:lpstr>EmissionsfaktorErdgasM3</vt:lpstr>
      <vt:lpstr>EmissionsfaktorFernwärmeKWH</vt:lpstr>
      <vt:lpstr>EmissionsfaktorFlugAusland</vt:lpstr>
      <vt:lpstr>EmissionsfaktorFlugInland</vt:lpstr>
      <vt:lpstr>EmissionsfaktorFrischfaserpapier</vt:lpstr>
      <vt:lpstr>EmissionsfaktorHeizölKWH</vt:lpstr>
      <vt:lpstr>EmissionsfaktorHeizölLiter</vt:lpstr>
      <vt:lpstr>EmissionsfaktorHolzhackschnitzelKG</vt:lpstr>
      <vt:lpstr>EmissionsfaktorHolzhackschnitzelSRM</vt:lpstr>
      <vt:lpstr>EmissionsfaktorHolzPelletsKG</vt:lpstr>
      <vt:lpstr>EmissionsfaktorLinienbus</vt:lpstr>
      <vt:lpstr>EmissionsfaktorMoped</vt:lpstr>
      <vt:lpstr>EmissionsfaktorMüllProKubikmeter</vt:lpstr>
      <vt:lpstr>EmissionsfaktorNotebook</vt:lpstr>
      <vt:lpstr>EmissionsfaktorÖkostrom</vt:lpstr>
      <vt:lpstr>EmissionsfaktorÖPNV</vt:lpstr>
      <vt:lpstr>EmissionsfaktorPC</vt:lpstr>
      <vt:lpstr>EmissionsfaktorRecyclingpapier</vt:lpstr>
      <vt:lpstr>EmissionsfaktorReisebus</vt:lpstr>
      <vt:lpstr>EmissionsfaktorReisebusKomplett</vt:lpstr>
      <vt:lpstr>EmissionsfaktorSchulbus</vt:lpstr>
      <vt:lpstr>EmissionsfaktorStrom</vt:lpstr>
      <vt:lpstr>EmissionsfaktorStuhl</vt:lpstr>
      <vt:lpstr>EmissionsfaktorTablet</vt:lpstr>
      <vt:lpstr>EmissionsfaktorTisch</vt:lpstr>
      <vt:lpstr>EmissionsfaktorWasser</vt:lpstr>
      <vt:lpstr>EnergienutzflaecheGesamt</vt:lpstr>
      <vt:lpstr>FaktorBeiLokalemProdukt</vt:lpstr>
      <vt:lpstr>GewichtMittagessenMax</vt:lpstr>
      <vt:lpstr>GewichtMittagessenMin</vt:lpstr>
      <vt:lpstr>GrenzwertBuecher</vt:lpstr>
      <vt:lpstr>GrenzwertEssensresteGut</vt:lpstr>
      <vt:lpstr>GrenzwertEssensresteMittel</vt:lpstr>
      <vt:lpstr>GrenzwertEssensresteSehrGut</vt:lpstr>
      <vt:lpstr>GrenzwertHeizenergieverbrauchHoch</vt:lpstr>
      <vt:lpstr>GrenzwertHeizenergieverbrauchMittel</vt:lpstr>
      <vt:lpstr>GrenzwertHeizenergieverbrauchNiedrig</vt:lpstr>
      <vt:lpstr>GrenzwertNotebooks</vt:lpstr>
      <vt:lpstr>GrenzwertPV_Anlage</vt:lpstr>
      <vt:lpstr>GrenzwertStromverbrauchMittel</vt:lpstr>
      <vt:lpstr>GrenzwertStromverbrauchNiedrig</vt:lpstr>
      <vt:lpstr>GrenzwertTablets</vt:lpstr>
      <vt:lpstr>HochrechnungsfaktorVerkehr</vt:lpstr>
      <vt:lpstr>HochrechnungsfaktorVerkehrLehrer</vt:lpstr>
      <vt:lpstr>InfoboxLegende</vt:lpstr>
      <vt:lpstr>InfoboxÖkostrom</vt:lpstr>
      <vt:lpstr>Jahresstromverbrauch</vt:lpstr>
      <vt:lpstr>ListeLebensmittelIFEU</vt:lpstr>
      <vt:lpstr>MaxRestmüllProPerson</vt:lpstr>
      <vt:lpstr>MaxWasserverbrauchProPerson</vt:lpstr>
      <vt:lpstr>MinRestmüllProPerson</vt:lpstr>
      <vt:lpstr>MinWasserverbrauchProPerson</vt:lpstr>
      <vt:lpstr>NährwertMittagessenMax</vt:lpstr>
      <vt:lpstr>NährwertMittagessenMin</vt:lpstr>
      <vt:lpstr>NameDerSchule</vt:lpstr>
      <vt:lpstr>PV2Ausrichtung</vt:lpstr>
      <vt:lpstr>PV2Kapazität</vt:lpstr>
      <vt:lpstr>PV2Neigung</vt:lpstr>
      <vt:lpstr>PVAusrichtung</vt:lpstr>
      <vt:lpstr>PVBestandJahresertrag</vt:lpstr>
      <vt:lpstr>PVKapazität</vt:lpstr>
      <vt:lpstr>PVNeigung</vt:lpstr>
      <vt:lpstr>PVSpezifischerJahresertrag</vt:lpstr>
      <vt:lpstr>TextEssensresteGut</vt:lpstr>
      <vt:lpstr>TextEssensresteMittel</vt:lpstr>
      <vt:lpstr>TextEssensresteSchlecht</vt:lpstr>
      <vt:lpstr>TextEssensresteSehrGut</vt:lpstr>
      <vt:lpstr>UmrechnungsfaktorEssensresteLiterInKG</vt:lpstr>
      <vt:lpstr>UmrechnungsfaktorRestmüllKgInLiter</vt:lpstr>
      <vt:lpstr>VerbrauchsanteilSchuleAustauschprogramme</vt:lpstr>
      <vt:lpstr>VerbrauchsanteilSchuleErnaehrung</vt:lpstr>
      <vt:lpstr>VerbrauchsanteilSchuleIT</vt:lpstr>
      <vt:lpstr>VerbrauchsanteilSchuleKlassenfahrten</vt:lpstr>
      <vt:lpstr>VerbrauchsanteilSchuleLehrerweg</vt:lpstr>
      <vt:lpstr>VerbrauchsanteilSchuleMöbel</vt:lpstr>
      <vt:lpstr>VerbrauchsanteilSchulePapier</vt:lpstr>
      <vt:lpstr>VerbrauchsanteilSchulePV</vt:lpstr>
      <vt:lpstr>VerbrauchsanteilSchuleRestmüll</vt:lpstr>
      <vt:lpstr>VerbrauchsanteilSchuleSchuelerweg</vt:lpstr>
      <vt:lpstr>VerbrauchsanteilSchuleSchulbücher</vt:lpstr>
      <vt:lpstr>VerbrauchsanteilSchuleSnacks</vt:lpstr>
      <vt:lpstr>VerbrauchsanteilSchuleStrom</vt:lpstr>
      <vt:lpstr>VerbrauchsanteilSchuleWaerme</vt:lpstr>
      <vt:lpstr>VerbrauchsanteilSchuleWasser</vt:lpstr>
      <vt:lpstr>WattPerM2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Snowfox</dc:creator>
  <cp:lastModifiedBy>Anette Keuchel</cp:lastModifiedBy>
  <cp:lastPrinted>2021-01-25T11:20:11Z</cp:lastPrinted>
  <dcterms:created xsi:type="dcterms:W3CDTF">2015-06-05T18:19:34Z</dcterms:created>
  <dcterms:modified xsi:type="dcterms:W3CDTF">2024-02-22T06:45:36Z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0x010100601DFF165D3F084980F3FAC23124C36A</vt:lpwstr>
  </property>
  <property fmtid="{D5CDD505-2E9C-101B-9397-08002B2CF9AE}" pid="3" name="MediaServiceImageTags">
    <vt:lpwstr/>
  </property>
</Properties>
</file>